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IfvZwSsITsisxc6jeu/qvRQQoCcg1izZSh2dJqMLYUK/RI8W7UnnSNRkIF8WpwetLHZYut6PViTPC8X0aqHByw==" workbookSaltValue="gNruqtYi3IEfSDjeSItWp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AY14" i="8" s="1"/>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BH11" i="16"/>
  <c r="BF13" i="11"/>
  <c r="BH16" i="11"/>
  <c r="BH19" i="16"/>
  <c r="P18" i="17"/>
  <c r="BK12" i="11"/>
  <c r="AO16" i="17"/>
  <c r="BL12" i="11"/>
  <c r="S14" i="16"/>
  <c r="V12" i="21"/>
  <c r="P14" i="16"/>
  <c r="Z14" i="17"/>
  <c r="V18" i="16"/>
  <c r="K20" i="2"/>
  <c r="M14"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BF16" i="8"/>
  <c r="BG16" i="8"/>
  <c r="K16" i="7" s="1"/>
  <c r="BD9" i="8"/>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W22" i="20"/>
  <c r="U10" i="11"/>
  <c r="W22" i="21"/>
  <c r="AF22" i="20"/>
  <c r="U18" i="11"/>
  <c r="AL22" i="20"/>
  <c r="AE22" i="20"/>
  <c r="AG22" i="20"/>
  <c r="L22" i="20"/>
  <c r="M22" i="20"/>
  <c r="N22" i="20"/>
  <c r="G14" i="14"/>
  <c r="AE21" i="8" l="1"/>
  <c r="B14" i="7"/>
  <c r="R21" i="8"/>
  <c r="BG10" i="8"/>
  <c r="F13" i="2"/>
  <c r="H12" i="2"/>
  <c r="B19" i="6"/>
  <c r="M20" i="2"/>
  <c r="N20" i="2"/>
  <c r="T9" i="11"/>
  <c r="V9" i="16"/>
  <c r="L9" i="2"/>
  <c r="U9" i="17"/>
  <c r="U21" i="17" s="1"/>
  <c r="L19" i="2"/>
  <c r="L18" i="2"/>
  <c r="X19" i="16"/>
  <c r="L12" i="2"/>
  <c r="S16" i="17"/>
  <c r="BK10" i="11"/>
  <c r="BK14" i="11" s="1"/>
  <c r="BH12" i="16"/>
  <c r="BM9" i="11"/>
  <c r="Q9" i="11" s="1"/>
  <c r="S18" i="17"/>
  <c r="BG17" i="11"/>
  <c r="BH11" i="11"/>
  <c r="BK17" i="11"/>
  <c r="BJ10" i="11"/>
  <c r="BL10" i="11"/>
  <c r="BL16" i="11"/>
  <c r="BF12" i="11"/>
  <c r="P16" i="17"/>
  <c r="S16" i="16"/>
  <c r="X18" i="17"/>
  <c r="AZ11" i="11"/>
  <c r="AZ12" i="11"/>
  <c r="AZ17" i="11"/>
  <c r="AA17" i="16"/>
  <c r="BU12" i="17"/>
  <c r="S11" i="17"/>
  <c r="BU13" i="17"/>
  <c r="BW10" i="20"/>
  <c r="BU19" i="17"/>
  <c r="BU9" i="17"/>
  <c r="BW16" i="20"/>
  <c r="BV11" i="16"/>
  <c r="BW12" i="20"/>
  <c r="BV12" i="16"/>
  <c r="BU10" i="17"/>
  <c r="BW18" i="20"/>
  <c r="BV18" i="16"/>
  <c r="BW19" i="20"/>
  <c r="BU11" i="17"/>
  <c r="AZ16" i="11"/>
  <c r="AZ20" i="11" s="1"/>
  <c r="AP18" i="20"/>
  <c r="AZ9" i="11"/>
  <c r="AZ21" i="11" s="1"/>
  <c r="BK18" i="11"/>
  <c r="BH18" i="11"/>
  <c r="R18" i="20"/>
  <c r="R20" i="20" s="1"/>
  <c r="BH13" i="11"/>
  <c r="AZ13" i="11"/>
  <c r="BG9" i="11"/>
  <c r="BI18" i="11"/>
  <c r="R10" i="21"/>
  <c r="R14" i="21" s="1"/>
  <c r="BJ16" i="11"/>
  <c r="BJ11" i="11"/>
  <c r="V9" i="11"/>
  <c r="BH9" i="11"/>
  <c r="Q10" i="21"/>
  <c r="BI10" i="11"/>
  <c r="V11" i="11"/>
  <c r="BK11" i="11"/>
  <c r="S18" i="16"/>
  <c r="BF17" i="11"/>
  <c r="BL18" i="11"/>
  <c r="BJ19" i="11"/>
  <c r="BF19" i="11"/>
  <c r="BJ18" i="11"/>
  <c r="V16" i="11"/>
  <c r="BF11" i="1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AZ22" i="20"/>
  <c r="H22" i="20"/>
  <c r="G20" i="14"/>
  <c r="O10" i="11"/>
  <c r="X22" i="20"/>
  <c r="AN22" i="20"/>
  <c r="T22" i="20"/>
  <c r="AD22" i="20"/>
  <c r="AP22" i="20"/>
  <c r="AI22" i="20"/>
  <c r="Q22" i="20"/>
  <c r="T22" i="21"/>
  <c r="O18" i="11"/>
  <c r="AX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AW22" i="11"/>
  <c r="J22" i="20"/>
  <c r="S22" i="20"/>
  <c r="AV22" i="2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M22" i="21"/>
  <c r="P22" i="11"/>
  <c r="AU22" i="16"/>
  <c r="AI22" i="16"/>
  <c r="L22" i="11"/>
  <c r="F22" i="11"/>
  <c r="V22" i="16"/>
  <c r="I22" i="17"/>
  <c r="AG22" i="16"/>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T22" i="17"/>
  <c r="O22" i="11"/>
  <c r="BD22" i="16"/>
  <c r="AF22" i="16"/>
  <c r="BQ22" i="16"/>
  <c r="N22" i="17"/>
  <c r="AW22" i="21"/>
  <c r="Y22" i="16"/>
  <c r="AO22" i="17"/>
  <c r="AY22" i="16"/>
  <c r="AW22" i="16"/>
  <c r="AK22" i="21"/>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<sst xmlns="http://schemas.openxmlformats.org/spreadsheetml/2006/main" count="2229" uniqueCount="979">
  <si>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</si>
  <si>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</si>
  <si>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</si>
  <si>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</si>
  <si>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</si>
  <si>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</si>
  <si>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</si>
  <si>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</si>
  <si>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</si>
  <si>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</si>
  <si>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</si>
  <si>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</si>
  <si>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</si>
  <si>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</si>
  <si>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</si>
  <si>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</si>
  <si>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</si>
  <si>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</si>
  <si>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</si>
  <si>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</si>
  <si>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</si>
  <si>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</si>
  <si>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</si>
  <si>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</si>
  <si>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</si>
  <si>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</si>
  <si>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</si>
  <si>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</si>
  <si>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</si>
  <si>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</si>
  <si>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</si>
  <si>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</si>
  <si>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</si>
  <si>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</si>
  <si>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</si>
  <si>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</si>
  <si>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</si>
  <si>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</si>
  <si>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</si>
  <si>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</si>
  <si>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</si>
  <si>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</si>
  <si>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</si>
  <si>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</si>
  <si>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</si>
  <si>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</si>
  <si>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</si>
  <si>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</si>
  <si>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</si>
  <si>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</si>
  <si>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</si>
  <si>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</si>
  <si>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</si>
  <si>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</si>
  <si>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</si>
  <si>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</si>
  <si>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</si>
  <si>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</si>
  <si>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</si>
  <si>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</si>
  <si>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</si>
  <si>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</si>
  <si>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</si>
  <si>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</si>
  <si>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</si>
  <si>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</si>
  <si>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</si>
  <si>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</si>
  <si>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</si>
  <si>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</si>
  <si>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</si>
  <si>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</si>
  <si>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</si>
  <si>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</si>
  <si>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</si>
  <si>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</si>
  <si>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</si>
  <si>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</si>
  <si>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</si>
  <si>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</si>
  <si>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</si>
  <si>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</si>
  <si>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</si>
  <si>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</si>
  <si>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</si>
  <si>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</si>
  <si>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</si>
  <si>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</si>
  <si>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</si>
  <si>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</si>
  <si>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</si>
  <si>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</si>
  <si>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</si>
  <si>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</si>
  <si>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</si>
  <si>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</si>
  <si>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</si>
  <si>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</si>
  <si>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</si>
  <si>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</si>
  <si>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</si>
  <si>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</si>
  <si>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</si>
  <si>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</si>
  <si>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</si>
  <si>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</si>
  <si>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</si>
  <si>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</si>
  <si>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</si>
  <si>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</si>
  <si>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</si>
  <si>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</si>
  <si>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</si>
  <si>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</si>
  <si>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</si>
  <si>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</si>
  <si>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</si>
  <si>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</si>
  <si>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</si>
  <si>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</si>
  <si>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</si>
  <si>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</si>
  <si>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</si>
  <si>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</si>
  <si>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</si>
  <si>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</si>
  <si>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</si>
  <si>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</si>
  <si>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</si>
  <si>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</si>
  <si>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</si>
  <si>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</si>
  <si>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</si>
  <si>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</si>
  <si>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</si>
  <si>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</si>
  <si>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</si>
  <si>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</si>
  <si>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</si>
  <si>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</si>
  <si>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</si>
  <si>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</si>
  <si>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</si>
  <si>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</si>
  <si>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</si>
  <si>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</si>
  <si>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</si>
  <si>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</si>
  <si>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</si>
  <si>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</si>
  <si>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</si>
  <si>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</si>
  <si>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</si>
  <si>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</si>
  <si>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</si>
  <si>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</si>
  <si>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</si>
  <si>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</si>
  <si>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</si>
  <si>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</si>
  <si>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</si>
  <si>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</si>
  <si>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</si>
  <si>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</si>
  <si>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</si>
  <si>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</si>
  <si>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</si>
  <si>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</si>
  <si>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</si>
  <si>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</si>
  <si>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</si>
  <si>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</si>
  <si>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</si>
  <si>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</si>
  <si>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</si>
  <si>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</si>
  <si>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</si>
  <si>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</si>
  <si>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</si>
  <si>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</si>
  <si>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</si>
  <si>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</si>
  <si>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</si>
  <si>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</si>
  <si>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</si>
  <si>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</si>
  <si>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</si>
  <si>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</si>
  <si>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</si>
  <si>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</si>
  <si>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</si>
  <si>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</si>
  <si>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</si>
  <si>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</si>
  <si>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</si>
  <si>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</si>
  <si>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</si>
  <si>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</si>
  <si>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</si>
  <si>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</si>
  <si>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</si>
  <si>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</si>
  <si>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</si>
  <si>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</si>
  <si>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</si>
  <si>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</si>
  <si>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</si>
  <si>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</si>
  <si>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</si>
  <si>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</si>
  <si>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</si>
  <si>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</si>
  <si>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</si>
  <si>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</si>
  <si>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</si>
  <si>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</si>
  <si>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</si>
  <si>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</si>
  <si>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</si>
  <si>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</si>
  <si>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</si>
  <si>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</si>
  <si>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</si>
  <si>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</si>
  <si>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</si>
  <si>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</si>
  <si>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</si>
  <si>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</si>
  <si>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</si>
  <si>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</si>
  <si>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</si>
  <si>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</si>
  <si>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</si>
  <si>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</si>
  <si>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</si>
  <si>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</si>
  <si>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</si>
  <si>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</si>
  <si>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</si>
  <si>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</si>
  <si>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</si>
  <si>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</si>
  <si>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</si>
  <si>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</si>
  <si>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</si>
  <si>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</si>
  <si>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</si>
  <si>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</si>
  <si>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</si>
  <si>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</si>
  <si>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</si>
  <si>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</si>
  <si>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</si>
  <si>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</si>
  <si>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</si>
  <si>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</si>
  <si>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</si>
  <si>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</si>
  <si>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</si>
  <si>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</si>
  <si>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</si>
  <si>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</si>
  <si>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</si>
  <si>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</si>
  <si>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</si>
  <si>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</si>
  <si>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</si>
  <si>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</si>
  <si>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</si>
  <si>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</si>
  <si>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</si>
  <si>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</si>
  <si>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</si>
  <si>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</si>
  <si>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</si>
  <si>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</si>
  <si>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</si>
  <si>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</si>
  <si>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</si>
  <si>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</si>
  <si>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</si>
  <si>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</si>
  <si>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</si>
  <si>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</si>
  <si>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</si>
  <si>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</si>
  <si>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</si>
  <si>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</si>
  <si>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</si>
  <si>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</si>
  <si>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</si>
  <si>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</si>
  <si>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</si>
  <si>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</si>
  <si>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</si>
  <si>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</si>
  <si>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</si>
  <si>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</si>
  <si>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</si>
  <si>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</si>
  <si>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</si>
  <si>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</si>
  <si>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</si>
  <si>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</si>
  <si>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</si>
  <si>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</si>
  <si>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</si>
  <si>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</si>
  <si>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</si>
  <si>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</si>
  <si>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</si>
  <si>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</si>
  <si>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</si>
  <si>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</si>
  <si>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</si>
  <si>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</si>
  <si>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</si>
  <si>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</si>
  <si>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</si>
  <si>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</si>
  <si>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</si>
  <si>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</si>
  <si>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</si>
  <si>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</si>
  <si>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</si>
  <si>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</si>
  <si>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</si>
  <si>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</si>
  <si>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</si>
  <si>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</si>
  <si>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</si>
  <si>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</si>
  <si>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</si>
  <si>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</si>
  <si>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</si>
  <si>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</si>
  <si>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</si>
  <si>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</si>
  <si>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</si>
  <si>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</si>
  <si>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</si>
  <si>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</si>
  <si>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</si>
  <si>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</si>
  <si>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</si>
  <si>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</si>
  <si>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</si>
  <si>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</si>
  <si>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</si>
  <si>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</si>
  <si>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</si>
  <si>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</si>
  <si>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</si>
  <si>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</si>
  <si>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</si>
  <si>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</si>
  <si>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</si>
  <si>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</si>
  <si>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</si>
  <si>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</si>
  <si>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</si>
  <si>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</si>
  <si>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</si>
  <si>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</si>
  <si>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</si>
  <si>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</si>
  <si>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</si>
  <si>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</si>
  <si>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</si>
  <si>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</si>
  <si>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</si>
  <si>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</si>
  <si>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</si>
  <si>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</si>
  <si>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</si>
  <si>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</si>
  <si>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</si>
  <si>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</si>
  <si>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</si>
  <si>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</si>
  <si>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</si>
  <si>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</si>
  <si>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</si>
  <si>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</si>
  <si>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</si>
  <si>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</si>
  <si>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</si>
  <si>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</si>
  <si>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</si>
  <si>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</si>
  <si>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</si>
  <si>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</si>
  <si>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</si>
  <si>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</si>
  <si>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</si>
  <si>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</si>
  <si>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</si>
  <si>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</si>
  <si>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</si>
  <si>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</si>
  <si>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</si>
  <si>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</si>
  <si>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</si>
  <si>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</si>
  <si>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</si>
  <si>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</si>
  <si>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</si>
  <si>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</si>
  <si>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</si>
  <si>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</si>
  <si>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</si>
  <si>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</si>
  <si>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</si>
  <si>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</si>
  <si>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</si>
  <si>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</si>
  <si>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</si>
  <si>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</si>
  <si>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</si>
  <si>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</si>
  <si>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</si>
  <si>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</si>
  <si>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</si>
  <si>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</si>
  <si>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</si>
  <si>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</si>
  <si>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</si>
  <si>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</si>
  <si>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</si>
  <si>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</si>
  <si>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</si>
  <si>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</si>
  <si>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</si>
  <si>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</si>
  <si>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</si>
  <si>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</si>
  <si>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</si>
  <si>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</si>
  <si>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</si>
  <si>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</si>
  <si>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</si>
  <si>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</si>
  <si>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</si>
  <si>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</si>
  <si>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</si>
  <si>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</si>
  <si>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</si>
  <si>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</si>
  <si>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</si>
  <si>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</si>
  <si>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</si>
  <si>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</si>
  <si>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</si>
  <si>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</si>
  <si>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</si>
  <si>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</si>
  <si>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</si>
  <si>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</si>
  <si>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</si>
  <si>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</si>
  <si>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</si>
  <si>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</si>
  <si>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</si>
  <si>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</si>
  <si>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</si>
  <si>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</si>
  <si>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</si>
  <si>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</si>
  <si>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</si>
  <si>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</si>
  <si>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</si>
  <si>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</si>
  <si>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</si>
  <si>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</si>
  <si>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</si>
  <si>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</si>
  <si>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</si>
  <si>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</si>
  <si>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</si>
  <si>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</si>
  <si>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</si>
  <si>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</si>
  <si>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</si>
  <si>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</si>
  <si>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</si>
  <si>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</si>
  <si>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</si>
  <si>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</si>
  <si>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</si>
  <si>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</si>
  <si>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</si>
  <si>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</si>
  <si>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</si>
  <si>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</si>
  <si>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</si>
  <si>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</si>
  <si>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</si>
  <si>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</si>
  <si>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</si>
  <si>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</si>
  <si>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</si>
  <si>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</si>
  <si>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</si>
  <si>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</si>
  <si>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</si>
  <si>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</si>
  <si>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</si>
  <si>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</si>
  <si>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</si>
  <si>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</si>
  <si>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</si>
  <si>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</si>
  <si>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</si>
  <si>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</si>
  <si>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</si>
  <si>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</si>
  <si>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</si>
  <si>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</si>
  <si>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</si>
  <si>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</si>
  <si>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</si>
  <si>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</si>
  <si>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</si>
  <si>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</si>
  <si>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</si>
  <si>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</si>
  <si>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</si>
  <si>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</si>
  <si>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</si>
  <si>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</si>
  <si>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</si>
  <si>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</si>
  <si>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</si>
  <si>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</si>
  <si>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</si>
  <si>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</si>
  <si>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</si>
  <si>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</si>
  <si>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</si>
  <si>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</si>
  <si>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</si>
  <si>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</si>
  <si>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</si>
  <si>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</si>
  <si>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</si>
  <si>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</si>
  <si>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</si>
  <si>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</si>
  <si>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</si>
  <si>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</si>
  <si>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</si>
  <si>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</si>
  <si>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</si>
  <si>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</si>
  <si>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</si>
  <si>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</si>
  <si>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</si>
  <si>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</si>
  <si>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</si>
  <si>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</si>
  <si>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</si>
  <si>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</si>
  <si>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</si>
  <si>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</si>
  <si>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</si>
  <si>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</si>
  <si>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</si>
  <si>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</si>
  <si>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</si>
  <si>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</si>
  <si>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</si>
  <si>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</si>
  <si>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</si>
  <si>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</si>
  <si>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</si>
  <si>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</si>
  <si>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</si>
  <si>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</si>
  <si>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</si>
  <si>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</si>
  <si>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</si>
  <si>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</si>
  <si>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</si>
  <si>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</si>
  <si>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</si>
  <si>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</si>
  <si>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</si>
  <si>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</si>
  <si>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</si>
  <si>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</si>
  <si>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</si>
  <si>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</si>
  <si>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</si>
  <si>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</si>
  <si>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</si>
  <si>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</si>
  <si>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</si>
  <si>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</si>
  <si>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</si>
  <si>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</si>
  <si>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</si>
  <si>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</si>
  <si>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</si>
  <si>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</si>
  <si>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</si>
  <si>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</si>
  <si>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</si>
  <si>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</si>
  <si>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</si>
  <si>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</si>
  <si>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</si>
  <si>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</si>
  <si>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</si>
  <si>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</si>
  <si>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</si>
  <si>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</si>
  <si>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</si>
  <si>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</si>
  <si>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</si>
  <si>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</si>
  <si>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</si>
  <si>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</si>
  <si>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</si>
  <si>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</si>
  <si>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</si>
  <si>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</si>
  <si>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</si>
  <si>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</si>
  <si>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</si>
  <si>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</si>
  <si>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</si>
  <si>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</si>
  <si>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</si>
  <si>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</si>
  <si>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</si>
  <si>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</si>
  <si>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</si>
  <si>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</si>
  <si>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</si>
  <si>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</si>
  <si>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</si>
  <si>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</si>
  <si>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</si>
  <si>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</si>
  <si>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</si>
  <si>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</si>
  <si>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</si>
  <si>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</si>
  <si>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</si>
  <si>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</si>
  <si>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</si>
  <si>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</si>
  <si>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</si>
  <si>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</si>
  <si>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</si>
  <si>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</si>
  <si>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</si>
  <si>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</si>
  <si>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</si>
  <si>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</si>
  <si>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</si>
  <si>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</si>
  <si>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</si>
  <si>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</si>
  <si>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</si>
  <si>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</si>
  <si>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</si>
  <si>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</si>
  <si>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</si>
  <si>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</si>
  <si>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</si>
  <si>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</si>
  <si>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</si>
  <si>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</si>
  <si>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</si>
  <si>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</si>
  <si>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</si>
  <si>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</si>
  <si>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</si>
  <si>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</si>
  <si>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</si>
  <si>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</si>
  <si>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</si>
  <si>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</si>
  <si>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</si>
  <si>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</si>
  <si>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</si>
  <si>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</si>
  <si>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</si>
  <si>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</si>
  <si>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</si>
  <si>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</si>
  <si>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</si>
  <si>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</si>
  <si>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</si>
  <si>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</si>
  <si>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</si>
  <si>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</si>
  <si>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</si>
  <si>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</si>
  <si>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</si>
  <si>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</si>
  <si>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</si>
  <si>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</si>
  <si>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</si>
  <si>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</si>
  <si>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</si>
  <si>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</si>
  <si>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</si>
  <si>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</si>
  <si>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</si>
  <si>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</si>
  <si>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</si>
  <si>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</si>
  <si>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</si>
  <si>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</si>
  <si>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</si>
  <si>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</si>
  <si>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</si>
  <si>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</si>
  <si>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</si>
  <si>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</si>
  <si>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</si>
  <si>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</si>
  <si>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</si>
  <si>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</si>
  <si>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</si>
  <si>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</si>
  <si>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</si>
  <si>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</si>
  <si>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</si>
  <si>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</si>
  <si>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</si>
  <si>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</si>
  <si>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</si>
  <si>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</si>
  <si>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</si>
  <si>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</si>
  <si>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</si>
  <si>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</si>
  <si>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</si>
  <si>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</si>
  <si>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</si>
  <si>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</si>
  <si>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</si>
  <si>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</si>
  <si>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</si>
  <si>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</si>
  <si>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</si>
  <si>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</si>
  <si>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</si>
  <si>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</si>
  <si>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</si>
  <si>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</si>
  <si>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</si>
  <si>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</si>
  <si>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</si>
  <si>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</si>
  <si>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</si>
  <si>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</si>
  <si>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</si>
  <si>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</si>
  <si>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</si>
  <si>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</si>
  <si>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</si>
  <si>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</si>
  <si>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</si>
  <si>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</si>
  <si>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</si>
  <si>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</si>
  <si>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</si>
  <si>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</si>
  <si>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</si>
  <si>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</si>
  <si>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</si>
  <si>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</si>
  <si>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</si>
  <si>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</si>
  <si>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</si>
  <si>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</si>
  <si>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</si>
  <si>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</si>
  <si>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</si>
  <si>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</si>
  <si>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</si>
  <si>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</si>
  <si>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</si>
  <si>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</si>
  <si>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</si>
  <si>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</si>
  <si>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</si>
  <si>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</si>
  <si>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</si>
  <si>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</si>
  <si>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</si>
  <si>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</si>
  <si>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</si>
  <si>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</si>
  <si>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</si>
  <si>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</si>
  <si>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</si>
  <si>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</si>
  <si>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</si>
  <si>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</si>
  <si>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</si>
  <si>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</si>
  <si>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</si>
  <si>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</si>
  <si>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</si>
  <si>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</si>
  <si>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</si>
  <si>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</si>
  <si>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</si>
  <si>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</si>
  <si>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</si>
  <si>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</si>
  <si>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</si>
  <si>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</si>
  <si>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</si>
  <si>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</si>
  <si>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</si>
  <si>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</si>
  <si>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</si>
  <si>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</si>
  <si>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</si>
  <si>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</si>
  <si>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</si>
  <si>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</si>
  <si>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</si>
  <si>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</si>
  <si>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</si>
  <si>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</si>
  <si>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</si>
  <si>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</si>
  <si>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</si>
  <si>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</si>
  <si>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</si>
  <si>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</si>
  <si>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</si>
  <si>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</si>
  <si>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</si>
  <si>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</si>
  <si>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</si>
  <si>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</si>
  <si>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</si>
  <si>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</si>
  <si>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</si>
  <si>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</si>
  <si>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</si>
  <si>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</si>
  <si>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</si>
  <si>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</si>
  <si>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</si>
  <si>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</si>
  <si>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</si>
  <si>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</si>
  <si>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</si>
  <si>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</si>
  <si>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</si>
  <si>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</si>
  <si>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</si>
  <si>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</si>
  <si>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</si>
  <si>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</si>
  <si>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</si>
  <si>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</si>
  <si>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</si>
  <si>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</si>
  <si>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</si>
  <si>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</si>
  <si>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</si>
  <si>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</si>
  <si>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</si>
  <si>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</si>
  <si>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</si>
  <si>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</si>
  <si>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</si>
  <si>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</si>
  <si>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</si>
  <si>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</si>
  <si>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</si>
  <si>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</si>
  <si>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</si>
  <si>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</si>
  <si>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</si>
  <si>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</si>
  <si>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</si>
  <si>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</si>
  <si>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</si>
  <si>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</si>
  <si>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</si>
  <si>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</si>
  <si>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</si>
  <si>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</si>
  <si>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</si>
  <si>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</si>
  <si>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</si>
  <si>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</si>
  <si>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</si>
  <si>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</si>
  <si>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</si>
  <si>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</si>
  <si>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</si>
  <si>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</si>
  <si>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</si>
  <si>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</si>
  <si>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</si>
  <si>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</si>
  <si>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</si>
  <si>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</si>
  <si>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</si>
  <si>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</si>
  <si>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</si>
  <si>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</si>
  <si>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</si>
  <si>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</si>
  <si>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</si>
  <si>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</si>
  <si>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</si>
  <si>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</si>
  <si>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</si>
  <si>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</si>
  <si>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</si>
  <si>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</si>
  <si>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</si>
  <si>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</si>
  <si>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</si>
  <si>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</si>
  <si>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</si>
  <si>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</si>
  <si>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</si>
  <si>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</si>
  <si>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</si>
  <si>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</si>
  <si>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</si>
  <si>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</si>
  <si>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</si>
  <si>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</si>
  <si>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</si>
  <si>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</si>
  <si>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</si>
  <si>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</si>
  <si>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</si>
  <si>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</si>
  <si>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</si>
  <si>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</si>
  <si>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</si>
  <si>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</si>
  <si>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</si>
  <si>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</si>
  <si>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</si>
  <si>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</si>
  <si>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</si>
  <si>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</si>
  <si>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</si>
  <si>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</si>
  <si>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</si>
  <si>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</si>
  <si>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</si>
  <si>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</si>
  <si>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</si>
  <si>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</si>
  <si>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</si>
  <si>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</si>
  <si>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</si>
  <si>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</si>
  <si>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</si>
  <si>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</si>
  <si>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</si>
  <si>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</si>
  <si>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</si>
  <si>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</si>
  <si>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</si>
  <si>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</si>
  <si>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</si>
  <si>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</si>
  <si>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CADIZ</t>
  </si>
  <si>
    <t>Resumenes por Partidos Judiciales</t>
  </si>
  <si>
    <t>ROTA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</si>
</sst>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MHShjHst2S7AKq8MX06L/7JpuAsKFuuSAR427IcWxyvHAbGnQlxdH0pbcfSORMBzlnEmSuglxqXVZ5ISFCGJg==" saltValue="qKR0RRDLkx+wJJZqomvf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v>
      </c>
      <c r="D10" s="230">
        <f>IF(ISNUMBER(Datos!I10),Datos!I10," - ")</f>
        <v>6</v>
      </c>
      <c r="E10" s="231">
        <f>IF(ISNUMBER(Datos!J10),Datos!J10," - ")</f>
        <v>1</v>
      </c>
      <c r="F10" s="231">
        <f>IF(ISNUMBER(Datos!K10),Datos!K10," - ")</f>
        <v>2</v>
      </c>
      <c r="G10" s="1193" t="str">
        <f>IF(Datos!E10&lt;&gt;"",Datos!E10,Datos!D10)</f>
        <v>37</v>
      </c>
      <c r="H10" s="232">
        <f>IF(ISNUMBER(Datos!L10),Datos!L10," - ")</f>
        <v>5</v>
      </c>
      <c r="I10" s="1203" t="str">
        <f>IF(ISNUMBER(Datos!AS10/Datos!BM10),Datos!AS10/Datos!BM10," - ")</f>
        <v xml:space="preserve"> - </v>
      </c>
      <c r="J10" s="1204">
        <f>IF(ISNUMBER(Datos!BY10/Datos!CN10),Datos!BY10/Datos!CN10," - ")</f>
        <v>0</v>
      </c>
      <c r="K10" s="235">
        <f t="shared" ref="K10:K13" si="1">IF(ISNUMBER((E10-F10)/C10),(E10-F10)/C10," - ")</f>
        <v>-0.16666666666666666</v>
      </c>
      <c r="L10" s="1205">
        <f>IF(ISNUMBER(NºAsuntos!I10/NºAsuntos!G10),(NºAsuntos!I10/NºAsuntos!G10)*11," - ")</f>
        <v>27.5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25.327160493827162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v>
      </c>
      <c r="D14" s="1210">
        <f>SUBTOTAL(9,D9:D13)</f>
        <v>6</v>
      </c>
      <c r="E14" s="1211">
        <f>SUBTOTAL(9,E9:E13)</f>
        <v>1</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591</v>
      </c>
      <c r="D17" s="230">
        <f>IF(ISNUMBER(IF(D_I="SI",Datos!I17,Datos!I17+Datos!AC17)),IF(D_I="SI",Datos!I17,Datos!I17+Datos!AC17)," - ")</f>
        <v>591</v>
      </c>
      <c r="E17" s="231">
        <f>IF(ISNUMBER(IF(D_I="SI",Datos!J17,Datos!J17+Datos!AD17)),IF(D_I="SI",Datos!J17,Datos!J17+Datos!AD17)," - ")</f>
        <v>300</v>
      </c>
      <c r="F17" s="231">
        <f>IF(ISNUMBER(IF(D_I="SI",Datos!K17,Datos!K17+Datos!AE17)),IF(D_I="SI",Datos!K17,Datos!K17+Datos!AE17)," - ")</f>
        <v>332</v>
      </c>
      <c r="G17" s="1193" t="str">
        <f>IF(Datos!E17&lt;&gt;"",Datos!E17,Datos!D17)</f>
        <v>04</v>
      </c>
      <c r="H17" s="232">
        <f>IF(ISNUMBER(IF(D_I="SI",Datos!L17,Datos!L17+Datos!AF17)),IF(D_I="SI",Datos!L17,Datos!L17+Datos!AF17)," - ")</f>
        <v>559</v>
      </c>
      <c r="I17" s="1203" t="str">
        <f>IF(ISNUMBER(Datos!AS17/Datos!BM17),Datos!AS17/Datos!BM17," - ")</f>
        <v xml:space="preserve"> - </v>
      </c>
      <c r="J17" s="1204">
        <f>IF(ISNUMBER(Datos!BY17/Datos!CN17),Datos!BY17/Datos!CN17," - ")</f>
        <v>0</v>
      </c>
      <c r="K17" s="235">
        <f t="shared" si="3"/>
        <v>-5.4145516074450083E-2</v>
      </c>
      <c r="L17" s="1205">
        <f>IF(ISNUMBER(NºAsuntos!I17/NºAsuntos!G17),(NºAsuntos!I17/NºAsuntos!G17)*11," - ")</f>
        <v>18.5210843373494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23</v>
      </c>
      <c r="D18" s="230">
        <f>IF(ISNUMBER(IF(D_I="SI",Datos!I18,Datos!I18+Datos!AC18)),IF(D_I="SI",Datos!I18,Datos!I18+Datos!AC18)," - ")</f>
        <v>23</v>
      </c>
      <c r="E18" s="231">
        <f>IF(ISNUMBER(IF(D_I="SI",Datos!J18,Datos!J18+Datos!AD18)),IF(D_I="SI",Datos!J18,Datos!J18+Datos!AD18)," - ")</f>
        <v>44</v>
      </c>
      <c r="F18" s="231">
        <f>IF(ISNUMBER(IF(D_I="SI",Datos!K18,Datos!K18+Datos!AE18)),IF(D_I="SI",Datos!K18,Datos!K18+Datos!AE18)," - ")</f>
        <v>42</v>
      </c>
      <c r="G18" s="1193" t="str">
        <f>IF(Datos!E18&lt;&gt;"",Datos!E18,Datos!D18)</f>
        <v>37</v>
      </c>
      <c r="H18" s="232">
        <f>IF(ISNUMBER(IF(D_I="SI",Datos!L18,Datos!L18+Datos!AF18)),IF(D_I="SI",Datos!L18,Datos!L18+Datos!AF18)," - ")</f>
        <v>25</v>
      </c>
      <c r="I18" s="1203" t="str">
        <f>IF(ISNUMBER(Datos!AS18/Datos!BM18),Datos!AS18/Datos!BM18," - ")</f>
        <v xml:space="preserve"> - </v>
      </c>
      <c r="J18" s="1204" t="str">
        <f>IF(ISNUMBER((Datos!BY18+Datos!BZ18)/Datos!CN18),(Datos!BY18+Datos!BZ18)/Datos!CN18," - ")</f>
        <v xml:space="preserve"> - </v>
      </c>
      <c r="K18" s="235">
        <f t="shared" si="3"/>
        <v>8.6956521739130432E-2</v>
      </c>
      <c r="L18" s="1205">
        <f>IF(ISNUMBER(NºAsuntos!I18/NºAsuntos!G18),(NºAsuntos!I18/NºAsuntos!G18)*11," - ")</f>
        <v>6.5476190476190474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614</v>
      </c>
      <c r="D20" s="1210">
        <f>SUBTOTAL(9,D16:D19)</f>
        <v>614</v>
      </c>
      <c r="E20" s="1211">
        <f>SUBTOTAL(9,E16:E19)</f>
        <v>344</v>
      </c>
      <c r="F20" s="1211">
        <f>SUBTOTAL(9,F16:F19)</f>
        <v>374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620</v>
      </c>
      <c r="D21" s="1232">
        <f>SUBTOTAL(9,D9:D20)</f>
        <v>620</v>
      </c>
      <c r="E21" s="1233">
        <f>SUBTOTAL(9,E9:E20)</f>
        <v>345</v>
      </c>
      <c r="F21" s="1233">
        <f>SUBTOTAL(9,F9:F20)</f>
        <v>376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SEB8f8gh8TJIIwPoqkznFE+doA9zlJFyuoMN6135F7e9WZv7YxqUD3+Uy7c/C59+G9M7GQqP8KWmquEPXwSVQw==" saltValue="1cCY8FvD+EnR4k5XTzkVS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2hb2ratwAXverfwFvVAbYLZ5DPrX3RR63LB6k+rLysvSgKsPQM9ihRBRnfLsLccHYtwsR1SUu+lLWLnO4NVo9g==" saltValue="znvujCg8pgPPSyle5W43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v>
      </c>
      <c r="J10" s="186">
        <v>1</v>
      </c>
      <c r="K10" s="186">
        <v>2</v>
      </c>
      <c r="L10" s="186">
        <v>5</v>
      </c>
      <c r="M10" s="186">
        <v>1</v>
      </c>
      <c r="N10" s="186">
        <v>0</v>
      </c>
      <c r="O10" s="186">
        <v>0</v>
      </c>
      <c r="P10" s="186">
        <v>0</v>
      </c>
      <c r="Q10" s="186">
        <v>0</v>
      </c>
      <c r="R10" s="186">
        <v>0</v>
      </c>
      <c r="S10" s="186">
        <v>10</v>
      </c>
      <c r="T10" s="186">
        <v>1</v>
      </c>
      <c r="U10" s="186">
        <v>0</v>
      </c>
      <c r="V10" s="186">
        <v>11</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10</v>
      </c>
      <c r="AZ10" s="131">
        <f t="shared" si="0"/>
        <v>1</v>
      </c>
      <c r="BA10" s="131">
        <f t="shared" si="0"/>
        <v>0</v>
      </c>
      <c r="BB10" s="131">
        <f t="shared" si="0"/>
        <v>11</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698</v>
      </c>
      <c r="J12" s="188">
        <v>327</v>
      </c>
      <c r="K12" s="188">
        <v>291</v>
      </c>
      <c r="L12" s="188">
        <v>734</v>
      </c>
      <c r="M12" s="188">
        <v>88</v>
      </c>
      <c r="N12" s="188">
        <v>124</v>
      </c>
      <c r="O12" s="186">
        <v>146</v>
      </c>
      <c r="P12" s="188">
        <v>90</v>
      </c>
      <c r="Q12" s="188">
        <v>54</v>
      </c>
      <c r="R12" s="188">
        <v>1234</v>
      </c>
      <c r="S12" s="188">
        <v>663</v>
      </c>
      <c r="T12" s="188">
        <v>249</v>
      </c>
      <c r="U12" s="188">
        <v>300</v>
      </c>
      <c r="V12" s="188">
        <v>612</v>
      </c>
      <c r="W12" s="188">
        <v>108</v>
      </c>
      <c r="X12" s="194">
        <v>136</v>
      </c>
      <c r="Y12" s="196">
        <v>22</v>
      </c>
      <c r="Z12" s="186">
        <v>23</v>
      </c>
      <c r="AA12" s="186">
        <v>33</v>
      </c>
      <c r="AB12" s="186">
        <v>12</v>
      </c>
      <c r="AC12" s="188">
        <v>0</v>
      </c>
      <c r="AD12" s="188">
        <v>0</v>
      </c>
      <c r="AE12" s="188">
        <v>0</v>
      </c>
      <c r="AF12" s="194">
        <v>0</v>
      </c>
      <c r="AG12" s="207">
        <v>22</v>
      </c>
      <c r="AH12" s="188">
        <v>14</v>
      </c>
      <c r="AI12" s="188">
        <v>19</v>
      </c>
      <c r="AJ12" s="208">
        <v>17</v>
      </c>
      <c r="AK12" s="187">
        <v>0</v>
      </c>
      <c r="AL12" s="188">
        <v>0</v>
      </c>
      <c r="AM12" s="188">
        <v>0</v>
      </c>
      <c r="AN12" s="194">
        <v>0</v>
      </c>
      <c r="AO12" s="264">
        <v>2</v>
      </c>
      <c r="AP12" s="160">
        <v>2</v>
      </c>
      <c r="AQ12" s="160">
        <v>2</v>
      </c>
      <c r="AR12" s="159">
        <v>2</v>
      </c>
      <c r="AS12" s="350" t="s">
        <v>874</v>
      </c>
      <c r="AT12" s="208"/>
      <c r="AU12" s="207"/>
      <c r="AV12" s="208"/>
      <c r="AW12" s="207"/>
      <c r="AX12" s="208"/>
      <c r="AY12" s="128">
        <f t="shared" si="1"/>
        <v>685</v>
      </c>
      <c r="AZ12" s="129">
        <f t="shared" si="1"/>
        <v>263</v>
      </c>
      <c r="BA12" s="129">
        <f t="shared" si="1"/>
        <v>319</v>
      </c>
      <c r="BB12" s="129">
        <f t="shared" si="1"/>
        <v>629</v>
      </c>
      <c r="BC12" s="127">
        <f>IF(ISNUMBER(X12),X12," - ")</f>
        <v>136</v>
      </c>
      <c r="BD12" s="128">
        <f t="shared" si="2"/>
        <v>1.2129277566539924</v>
      </c>
      <c r="BE12" s="129">
        <f t="shared" si="3"/>
        <v>1.9717868338557993</v>
      </c>
      <c r="BF12" s="129">
        <f t="shared" si="4"/>
        <v>0.42633228840125392</v>
      </c>
      <c r="BG12" s="201">
        <f t="shared" si="5"/>
        <v>2.9717868338557993</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704</v>
      </c>
      <c r="J14" s="189">
        <f t="shared" si="7"/>
        <v>328</v>
      </c>
      <c r="K14" s="189">
        <f t="shared" si="7"/>
        <v>293</v>
      </c>
      <c r="L14" s="189">
        <f t="shared" si="7"/>
        <v>739</v>
      </c>
      <c r="M14" s="189">
        <f t="shared" si="7"/>
        <v>89</v>
      </c>
      <c r="N14" s="189">
        <f t="shared" si="7"/>
        <v>124</v>
      </c>
      <c r="O14" s="189">
        <f t="shared" si="7"/>
        <v>146</v>
      </c>
      <c r="P14" s="189">
        <f t="shared" si="7"/>
        <v>90</v>
      </c>
      <c r="Q14" s="189">
        <f t="shared" si="7"/>
        <v>54</v>
      </c>
      <c r="R14" s="189">
        <f t="shared" si="7"/>
        <v>1234</v>
      </c>
      <c r="S14" s="189">
        <f t="shared" si="7"/>
        <v>673</v>
      </c>
      <c r="T14" s="189">
        <f t="shared" si="7"/>
        <v>250</v>
      </c>
      <c r="U14" s="189">
        <f t="shared" si="7"/>
        <v>300</v>
      </c>
      <c r="V14" s="189">
        <f t="shared" si="7"/>
        <v>623</v>
      </c>
      <c r="W14" s="189">
        <f t="shared" si="7"/>
        <v>108</v>
      </c>
      <c r="X14" s="189">
        <f t="shared" si="7"/>
        <v>136</v>
      </c>
      <c r="Y14" s="189">
        <f t="shared" si="7"/>
        <v>22</v>
      </c>
      <c r="Z14" s="189">
        <f t="shared" si="7"/>
        <v>23</v>
      </c>
      <c r="AA14" s="189">
        <f t="shared" si="7"/>
        <v>33</v>
      </c>
      <c r="AB14" s="189">
        <f t="shared" si="7"/>
        <v>12</v>
      </c>
      <c r="AC14" s="189">
        <f t="shared" si="7"/>
        <v>0</v>
      </c>
      <c r="AD14" s="189">
        <f t="shared" si="7"/>
        <v>0</v>
      </c>
      <c r="AE14" s="189">
        <f t="shared" si="7"/>
        <v>0</v>
      </c>
      <c r="AF14" s="189">
        <f>SUBTOTAL(9,AF9:AF13)</f>
        <v>0</v>
      </c>
      <c r="AG14" s="189">
        <f t="shared" ref="AG14:AT14" si="8">SUBTOTAL(9,AG8:AG13)</f>
        <v>22</v>
      </c>
      <c r="AH14" s="189">
        <f t="shared" si="8"/>
        <v>14</v>
      </c>
      <c r="AI14" s="189">
        <f t="shared" si="8"/>
        <v>19</v>
      </c>
      <c r="AJ14" s="189">
        <f t="shared" si="8"/>
        <v>17</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695</v>
      </c>
      <c r="AZ14" s="189">
        <f>SUBTOTAL(9,AZ8:AZ13)</f>
        <v>264</v>
      </c>
      <c r="BA14" s="189">
        <f>SUBTOTAL(9,BA8:BA13)</f>
        <v>319</v>
      </c>
      <c r="BB14" s="189">
        <f>SUBTOTAL(9,BB8:BB13)</f>
        <v>640</v>
      </c>
      <c r="BC14" s="189">
        <f>SUBTOTAL(9,BC8:BC13)</f>
        <v>136</v>
      </c>
      <c r="BD14" s="210">
        <f>IF(ISNUMBER(BA14/AZ14),BA14/AZ14," - ")</f>
        <v>1.2083333333333333</v>
      </c>
      <c r="BE14" s="211">
        <f>IF(ISNUMBER(BB14/BA14),BB14/BA14, " - ")</f>
        <v>2.0062695924764888</v>
      </c>
      <c r="BF14" s="211">
        <f>IF(ISNUMBER(BC14/BA14),BC14/BA14, " - ")</f>
        <v>0.42633228840125392</v>
      </c>
      <c r="BG14" s="212">
        <f>IF(ISNUMBER((AY14+AZ14)/BA14),(AY14+AZ14)/BA14," - ")</f>
        <v>3.0062695924764888</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591</v>
      </c>
      <c r="J17" s="188">
        <v>300</v>
      </c>
      <c r="K17" s="188">
        <v>332</v>
      </c>
      <c r="L17" s="188">
        <v>559</v>
      </c>
      <c r="M17" s="188">
        <v>32</v>
      </c>
      <c r="N17" s="188">
        <v>179</v>
      </c>
      <c r="O17" s="186">
        <v>0</v>
      </c>
      <c r="P17" s="188">
        <v>9</v>
      </c>
      <c r="Q17" s="188">
        <v>11</v>
      </c>
      <c r="R17" s="188">
        <v>73</v>
      </c>
      <c r="S17" s="188">
        <v>520</v>
      </c>
      <c r="T17" s="188">
        <v>267</v>
      </c>
      <c r="U17" s="188">
        <v>291</v>
      </c>
      <c r="V17" s="188">
        <v>496</v>
      </c>
      <c r="W17" s="188">
        <v>50</v>
      </c>
      <c r="X17" s="194">
        <v>108</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520</v>
      </c>
      <c r="AZ17" s="129">
        <f t="shared" si="10"/>
        <v>267</v>
      </c>
      <c r="BA17" s="129">
        <f t="shared" si="10"/>
        <v>291</v>
      </c>
      <c r="BB17" s="129">
        <f t="shared" si="10"/>
        <v>496</v>
      </c>
      <c r="BC17" s="127">
        <f>IF(ISNUMBER(W17),W17," - ")</f>
        <v>50</v>
      </c>
      <c r="BD17" s="128">
        <f t="shared" ref="BD17:BD19" si="12">IF(ISNUMBER(BA17/AZ17),BA17/AZ17," - ")</f>
        <v>1.0898876404494382</v>
      </c>
      <c r="BE17" s="129">
        <f t="shared" ref="BE17:BE19" si="13">IF(ISNUMBER(BB17/BA17),BB17/BA17, " - ")</f>
        <v>1.70446735395189</v>
      </c>
      <c r="BF17" s="129">
        <f t="shared" ref="BF17:BF19" si="14">IF(ISNUMBER(BC17/BA17),BC17/BA17, " - ")</f>
        <v>0.1718213058419244</v>
      </c>
      <c r="BG17" s="201">
        <f t="shared" si="11"/>
        <v>2.7044673539518902</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23</v>
      </c>
      <c r="J18" s="188">
        <v>44</v>
      </c>
      <c r="K18" s="188">
        <v>42</v>
      </c>
      <c r="L18" s="188">
        <v>25</v>
      </c>
      <c r="M18" s="188">
        <v>4</v>
      </c>
      <c r="N18" s="188">
        <v>32</v>
      </c>
      <c r="O18" s="188">
        <v>0</v>
      </c>
      <c r="P18" s="188">
        <v>0</v>
      </c>
      <c r="Q18" s="188">
        <v>0</v>
      </c>
      <c r="R18" s="188">
        <v>0</v>
      </c>
      <c r="S18" s="188">
        <v>23</v>
      </c>
      <c r="T18" s="188">
        <v>28</v>
      </c>
      <c r="U18" s="188">
        <v>24</v>
      </c>
      <c r="V18" s="188">
        <v>27</v>
      </c>
      <c r="W18" s="188">
        <v>5</v>
      </c>
      <c r="X18" s="194">
        <v>16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23</v>
      </c>
      <c r="AZ18" s="131">
        <f t="shared" si="15"/>
        <v>28</v>
      </c>
      <c r="BA18" s="131">
        <f t="shared" si="15"/>
        <v>24</v>
      </c>
      <c r="BB18" s="131">
        <f t="shared" si="15"/>
        <v>27</v>
      </c>
      <c r="BC18" s="127">
        <f>IF(ISNUMBER(W18),W18," - ")</f>
        <v>5</v>
      </c>
      <c r="BD18" s="128">
        <f>IF(ISNUMBER(BA18/AZ18),BA18/AZ18," - ")</f>
        <v>0.8571428571428571</v>
      </c>
      <c r="BE18" s="129">
        <f>IF(ISNUMBER(BB18/BA18),BB18/BA18, " - ")</f>
        <v>1.125</v>
      </c>
      <c r="BF18" s="129">
        <f>IF(ISNUMBER(BC18/BA18),BC18/BA18, " - ")</f>
        <v>0.20833333333333334</v>
      </c>
      <c r="BG18" s="201">
        <f>IF(ISNUMBER((AY18+AZ18)/BA18),(AY18+AZ18)/BA18," - ")</f>
        <v>2.125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614</v>
      </c>
      <c r="J20" s="189">
        <f t="shared" si="16"/>
        <v>344</v>
      </c>
      <c r="K20" s="189">
        <f t="shared" si="16"/>
        <v>374</v>
      </c>
      <c r="L20" s="189">
        <f t="shared" si="16"/>
        <v>584</v>
      </c>
      <c r="M20" s="189">
        <f t="shared" si="16"/>
        <v>36</v>
      </c>
      <c r="N20" s="189">
        <f t="shared" si="16"/>
        <v>211</v>
      </c>
      <c r="O20" s="189">
        <f t="shared" si="16"/>
        <v>0</v>
      </c>
      <c r="P20" s="189">
        <f t="shared" si="16"/>
        <v>9</v>
      </c>
      <c r="Q20" s="189">
        <f t="shared" si="16"/>
        <v>11</v>
      </c>
      <c r="R20" s="189">
        <f t="shared" si="16"/>
        <v>73</v>
      </c>
      <c r="S20" s="189">
        <f t="shared" si="16"/>
        <v>543</v>
      </c>
      <c r="T20" s="189">
        <f t="shared" si="16"/>
        <v>295</v>
      </c>
      <c r="U20" s="189">
        <f t="shared" si="16"/>
        <v>315</v>
      </c>
      <c r="V20" s="189">
        <f t="shared" si="16"/>
        <v>523</v>
      </c>
      <c r="W20" s="189">
        <f t="shared" si="16"/>
        <v>55</v>
      </c>
      <c r="X20" s="189">
        <f t="shared" si="16"/>
        <v>124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543</v>
      </c>
      <c r="AZ20" s="189">
        <f>SUBTOTAL(9,AZ15:AZ19)</f>
        <v>295</v>
      </c>
      <c r="BA20" s="189">
        <f>SUBTOTAL(9,BA15:BA19)</f>
        <v>315</v>
      </c>
      <c r="BB20" s="189">
        <f>SUBTOTAL(9,BB15:BB19)</f>
        <v>523</v>
      </c>
      <c r="BC20" s="189">
        <f>SUBTOTAL(9,BC15:BC19)</f>
        <v>55</v>
      </c>
      <c r="BD20" s="210">
        <f>IF(ISNUMBER(BA20/AZ20),BA20/AZ20," - ")</f>
        <v>1.0677966101694916</v>
      </c>
      <c r="BE20" s="211">
        <f>IF(ISNUMBER(BB20/BA20),BB20/BA20, " - ")</f>
        <v>1.6603174603174604</v>
      </c>
      <c r="BF20" s="211">
        <f>IF(ISNUMBER(BC20/BA20),BC20/BA20, " - ")</f>
        <v>0.17460317460317459</v>
      </c>
      <c r="BG20" s="212">
        <f>IF(ISNUMBER((AY20+AZ20)/BA20),(AY20+AZ20)/BA20," - ")</f>
        <v>2.6603174603174602</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1318</v>
      </c>
      <c r="J21" s="136">
        <f t="shared" si="19"/>
        <v>672</v>
      </c>
      <c r="K21" s="136">
        <f t="shared" si="19"/>
        <v>667</v>
      </c>
      <c r="L21" s="136">
        <f t="shared" si="19"/>
        <v>1323</v>
      </c>
      <c r="M21" s="136">
        <f t="shared" si="19"/>
        <v>125</v>
      </c>
      <c r="N21" s="136">
        <f t="shared" si="19"/>
        <v>335</v>
      </c>
      <c r="O21" s="136">
        <f t="shared" si="19"/>
        <v>146</v>
      </c>
      <c r="P21" s="136">
        <f t="shared" si="19"/>
        <v>99</v>
      </c>
      <c r="Q21" s="136">
        <f t="shared" si="19"/>
        <v>65</v>
      </c>
      <c r="R21" s="136">
        <f t="shared" si="19"/>
        <v>1307</v>
      </c>
      <c r="S21" s="136">
        <f t="shared" si="19"/>
        <v>1216</v>
      </c>
      <c r="T21" s="136">
        <f t="shared" si="19"/>
        <v>545</v>
      </c>
      <c r="U21" s="136">
        <f t="shared" si="19"/>
        <v>615</v>
      </c>
      <c r="V21" s="136">
        <f t="shared" si="19"/>
        <v>1146</v>
      </c>
      <c r="W21" s="136">
        <f t="shared" si="19"/>
        <v>163</v>
      </c>
      <c r="X21" s="136">
        <f t="shared" si="19"/>
        <v>260</v>
      </c>
      <c r="Y21" s="136">
        <f t="shared" si="19"/>
        <v>22</v>
      </c>
      <c r="Z21" s="136">
        <f t="shared" si="19"/>
        <v>23</v>
      </c>
      <c r="AA21" s="136">
        <f t="shared" si="19"/>
        <v>33</v>
      </c>
      <c r="AB21" s="136">
        <f t="shared" si="19"/>
        <v>12</v>
      </c>
      <c r="AC21" s="136">
        <f t="shared" si="19"/>
        <v>0</v>
      </c>
      <c r="AD21" s="136">
        <f t="shared" si="19"/>
        <v>0</v>
      </c>
      <c r="AE21" s="136">
        <f t="shared" si="19"/>
        <v>0</v>
      </c>
      <c r="AF21" s="136">
        <f t="shared" si="19"/>
        <v>0</v>
      </c>
      <c r="AG21" s="136">
        <f t="shared" si="19"/>
        <v>22</v>
      </c>
      <c r="AH21" s="136">
        <f t="shared" si="19"/>
        <v>14</v>
      </c>
      <c r="AI21" s="136">
        <f t="shared" si="19"/>
        <v>19</v>
      </c>
      <c r="AJ21" s="136">
        <f t="shared" si="19"/>
        <v>17</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1238</v>
      </c>
      <c r="AZ21" s="136">
        <f>SUBTOTAL(9,AZ9:AZ20)</f>
        <v>559</v>
      </c>
      <c r="BA21" s="136">
        <f>SUBTOTAL(9,BA9:BA20)</f>
        <v>634</v>
      </c>
      <c r="BB21" s="136">
        <f>SUBTOTAL(9,BB9:BB20)</f>
        <v>1163</v>
      </c>
      <c r="BC21" s="137">
        <f>SUBTOTAL(9,BC9:BC20)</f>
        <v>191</v>
      </c>
      <c r="BD21" s="218">
        <f>IF(ISNUMBER(BA21/AZ21),BA21/AZ21," - ")</f>
        <v>1.1341681574239715</v>
      </c>
      <c r="BE21" s="215">
        <f>IF(ISNUMBER(BB21/BA21),BB21/BA21, " - ")</f>
        <v>1.834384858044164</v>
      </c>
      <c r="BF21" s="215">
        <f>IF(ISNUMBER(BC21/BA21),BC21/BA21, " - ")</f>
        <v>0.30126182965299686</v>
      </c>
      <c r="BG21" s="137">
        <f>IF(ISNUMBER((AY21+AZ21)/BA21),(AY21+AZ21)/BA21," - ")</f>
        <v>2.8343848580441642</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ru49VZvy/IYibzP39tNEPGdQtuWPMp/svrmxUQgrhZF8J7v8VqzOqyHkzac026sk8TE3Ikvt0LZ9TBnDEa9mA==" saltValue="q2LHG6fipB3MC71kObXA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pqD8MQoFCOCLb7bzaAdpiMx+geVfBaHVq6pAElcw2n8Sldz8FGOJl+TIBasgZ331nq7HpWMr9vCk0pniBhh9g==" saltValue="Fzn+AA+l95ixeWn9sT0x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CADIZ  Resumenes por Partidos Judiciales  ROTA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v>
      </c>
      <c r="G10" s="498">
        <f>IF(ISNUMBER(Datos!I10),Datos!I10," - ")</f>
        <v>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5</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2</v>
      </c>
      <c r="BH10" s="670">
        <f>IF(ISNUMBER(((Datos!L10/Datos!K10)*11)/factor_trimestre),((Datos!L10/Datos!K10)*11)/factor_trimestre," - ")</f>
        <v>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23</v>
      </c>
      <c r="O12" s="504"/>
      <c r="P12" s="504"/>
      <c r="Q12" s="502">
        <f>IF(ISNUMBER(Datos!P12),Datos!P12,0)</f>
        <v>90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12</v>
      </c>
      <c r="AI12" s="504" t="str">
        <f>IF(ISNUMBER(Datos!CD12),Datos!CD12,"-")</f>
        <v>-</v>
      </c>
      <c r="AJ12" s="504" t="str">
        <f>IF(ISNUMBER(Datos!EN12),Datos!EN12," - ")</f>
        <v xml:space="preserve"> - </v>
      </c>
      <c r="AK12" s="504"/>
      <c r="AL12" s="505"/>
      <c r="AM12" s="672">
        <f>IF(ISNUMBER(Datos!R12),Datos!R12," - ")</f>
        <v>1234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88</v>
      </c>
      <c r="BD12" s="620">
        <f>IF(ISNUMBER(Datos!N12),Datos!N12," - ")</f>
        <v>124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0.92571428571428571</v>
      </c>
      <c r="BH12" s="670">
        <f>IF(ISNUMBER(((IF(J_V="SI",Datos!L12/Datos!K12,(Datos!L12+Datos!AB12)/(Datos!K12+Datos!AA12)))*11)/factor_trimestre),((IF(J_V="SI",Datos!L12/Datos!K12,(Datos!L12+Datos!AB12)/(Datos!K12+Datos!AA12)))*11)/factor_trimestre," - ")</f>
        <v>6.9074074074074083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3.0050083472454091E-2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6</v>
      </c>
      <c r="G14" s="1045">
        <f t="shared" si="1"/>
        <v>6</v>
      </c>
      <c r="H14" s="1046">
        <f t="shared" si="1"/>
        <v>0</v>
      </c>
      <c r="I14" s="1045">
        <f t="shared" si="1"/>
        <v>0</v>
      </c>
      <c r="J14" s="1014">
        <f t="shared" si="1"/>
        <v>0</v>
      </c>
      <c r="K14" s="1014">
        <f t="shared" si="1"/>
        <v>0</v>
      </c>
      <c r="L14" s="1046">
        <f t="shared" si="1"/>
        <v>0</v>
      </c>
      <c r="M14" s="1046">
        <f t="shared" si="1"/>
        <v>0</v>
      </c>
      <c r="N14" s="1046">
        <f t="shared" si="1"/>
        <v>23</v>
      </c>
      <c r="O14" s="1047">
        <f t="shared" si="1"/>
        <v>0</v>
      </c>
      <c r="P14" s="1047">
        <f t="shared" si="1"/>
        <v>0</v>
      </c>
      <c r="Q14" s="1046">
        <f t="shared" si="1"/>
        <v>90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54</v>
      </c>
      <c r="AD14" s="1046">
        <f t="shared" si="2"/>
        <v>0</v>
      </c>
      <c r="AE14" s="1046">
        <f t="shared" si="2"/>
        <v>0</v>
      </c>
      <c r="AF14" s="1046">
        <f t="shared" si="2"/>
        <v>5</v>
      </c>
      <c r="AG14" s="1046">
        <f t="shared" si="2"/>
        <v>0</v>
      </c>
      <c r="AH14" s="1046">
        <f t="shared" si="2"/>
        <v>12</v>
      </c>
      <c r="AI14" s="1046">
        <f t="shared" si="2"/>
        <v>0</v>
      </c>
      <c r="AJ14" s="1046">
        <f t="shared" si="2"/>
        <v>0</v>
      </c>
      <c r="AK14" s="1046">
        <f t="shared" si="2"/>
        <v>0</v>
      </c>
      <c r="AL14" s="1046">
        <f t="shared" si="2"/>
        <v>0</v>
      </c>
      <c r="AM14" s="1046">
        <f t="shared" si="2"/>
        <v>1234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89</v>
      </c>
      <c r="BD14" s="1046">
        <f t="shared" si="2"/>
        <v>124</v>
      </c>
      <c r="BE14" s="1046">
        <f t="shared" si="2"/>
        <v>0</v>
      </c>
      <c r="BF14" s="1046">
        <f t="shared" si="2"/>
        <v>0</v>
      </c>
      <c r="BG14" s="1046">
        <f>IF(ISNUMBER(Datos!K14/Datos!J14),Datos!K14/Datos!J14," - ")</f>
        <v>0.89329268292682928</v>
      </c>
      <c r="BH14" s="1050">
        <f>IF(ISNUMBER(((Datos!L14/Datos!K14)*11)/factor_trimestre),((Datos!L14/Datos!K14)*11)/factor_trimestre," - ")</f>
        <v>7.5665529010238908</v>
      </c>
      <c r="BI14" s="1046">
        <f>IF(ISNUMBER('Resol  Asuntos'!D14/NºAsuntos!G14),'Resol  Asuntos'!D14/NºAsuntos!G14," - ")</f>
        <v>0.27300613496932513</v>
      </c>
      <c r="BJ14" s="1046" t="str">
        <f>IF(ISNUMBER(Datos!CI14/Datos!CJ14),Datos!CI14/Datos!CJ14," - ")</f>
        <v xml:space="preserve"> - </v>
      </c>
      <c r="BK14" s="1046">
        <f>SUBTOTAL(9,BK8:BK13)</f>
        <v>0</v>
      </c>
      <c r="BL14" s="1046">
        <f>IF(ISNUMBER((I14-AB14+L14)/(F14)),(I14-AB14+L14)/(F14)," - ")</f>
        <v>-0.33333333333333331</v>
      </c>
      <c r="BM14" s="1051">
        <f>SUBTOTAL(9,BM9:BM13)</f>
        <v>3.0050083472454091E-2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591</v>
      </c>
      <c r="G17" s="651">
        <f>IF(ISNUMBER(IF(D_I="SI",Datos!I17,Datos!I17+Datos!AC17)),IF(D_I="SI",Datos!I17,Datos!I17+Datos!AC17)," - ")</f>
        <v>591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332</v>
      </c>
      <c r="AC17" s="231">
        <f>IF(ISNUMBER(Datos!Q17),Datos!Q17," - ")</f>
        <v>11</v>
      </c>
      <c r="AD17" s="344"/>
      <c r="AE17" s="516"/>
      <c r="AF17" s="649">
        <f>IF(ISNUMBER(IF(D_I="SI",Datos!L17,Datos!L17+Datos!AF17)),IF(D_I="SI",Datos!L17,Datos!L17+Datos!AF17)," - ")</f>
        <v>559</v>
      </c>
      <c r="AG17" s="344"/>
      <c r="AH17" s="344"/>
      <c r="AI17" s="344"/>
      <c r="AJ17" s="504"/>
      <c r="AK17" s="344"/>
      <c r="AL17" s="500"/>
      <c r="AM17" s="345">
        <f>IF(ISNUMBER(Datos!R17),Datos!R17," - ")</f>
        <v>73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32</v>
      </c>
      <c r="BD17" s="234">
        <f>IF(ISNUMBER(Datos!N17),Datos!N17," - ")</f>
        <v>179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1.1066666666666667</v>
      </c>
      <c r="BH17" s="670">
        <f>IF(ISNUMBER(((IF(D_I="SI",Datos!L17/Datos!K17,(Datos!L17+Datos!AF17)/(Datos!K17+Datos!AE17)))*11)/factor_trimestre),((IF(D_I="SI",Datos!L17/Datos!K17,(Datos!L17+Datos!AF17)/(Datos!K17+Datos!AE17)))*11)/factor_trimestre," - ")</f>
        <v>5.0512048192771095</v>
      </c>
      <c r="BI17" s="248">
        <f>IF(ISNUMBER('Resol  Asuntos'!D17/NºAsuntos!G17),'Resol  Asuntos'!D17/NºAsuntos!G17," - ")</f>
        <v>9.6385542168674704E-2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42</v>
      </c>
      <c r="AC18" s="502">
        <f>IF(ISNUMBER(Datos!Q18),Datos!Q18," - ")</f>
        <v>0</v>
      </c>
      <c r="AD18" s="504"/>
      <c r="AE18" s="516"/>
      <c r="AF18" s="506">
        <f>IF(ISNUMBER(Datos!L18),Datos!L18,"-")</f>
        <v>25</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32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0.95454545454545459</v>
      </c>
      <c r="BH18" s="670">
        <f>IF(ISNUMBER(((IF(D_I="SI",Datos!L18/Datos!K18,(Datos!L18+Datos!AF18)/(Datos!K18+Datos!AE18)))*11)/factor_trimestre),((IF(D_I="SI",Datos!L18/Datos!K18,(Datos!L18+Datos!AF18)/(Datos!K18+Datos!AE18)))*11)/factor_trimestre," - ")</f>
        <v>1.7857142857142858</v>
      </c>
      <c r="BI18" s="669">
        <f>IF(ISNUMBER('Resol  Asuntos'!D18/NºAsuntos!G18),'Resol  Asuntos'!D18/NºAsuntos!G18," - ")</f>
        <v>9.5238095238095233E-2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591</v>
      </c>
      <c r="G20" s="1045">
        <f>SUBTOTAL(9,G16:G19)</f>
        <v>614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374</v>
      </c>
      <c r="AC20" s="1046">
        <f t="shared" si="5"/>
        <v>11</v>
      </c>
      <c r="AD20" s="1046">
        <f t="shared" si="5"/>
        <v>0</v>
      </c>
      <c r="AE20" s="1046">
        <f t="shared" si="5"/>
        <v>0</v>
      </c>
      <c r="AF20" s="1046">
        <f t="shared" si="5"/>
        <v>584</v>
      </c>
      <c r="AG20" s="1046">
        <f t="shared" si="5"/>
        <v>0</v>
      </c>
      <c r="AH20" s="1046">
        <f t="shared" si="5"/>
        <v>0</v>
      </c>
      <c r="AI20" s="1046">
        <f t="shared" si="5"/>
        <v>0</v>
      </c>
      <c r="AJ20" s="1046">
        <f t="shared" si="5"/>
        <v>0</v>
      </c>
      <c r="AK20" s="1046">
        <f t="shared" si="5"/>
        <v>0</v>
      </c>
      <c r="AL20" s="1046">
        <f t="shared" si="5"/>
        <v>0</v>
      </c>
      <c r="AM20" s="1046">
        <f t="shared" si="5"/>
        <v>73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36</v>
      </c>
      <c r="BD20" s="1046">
        <f t="shared" si="5"/>
        <v>211</v>
      </c>
      <c r="BE20" s="1046">
        <f t="shared" si="5"/>
        <v>0</v>
      </c>
      <c r="BF20" s="1046">
        <f t="shared" si="5"/>
        <v>0</v>
      </c>
      <c r="BG20" s="1046">
        <f>IF(ISNUMBER(Datos!K20/Datos!J20),Datos!K20/Datos!J20," - ")</f>
        <v>1.0872093023255813</v>
      </c>
      <c r="BH20" s="1050">
        <f>IF(ISNUMBER(((Datos!L20/Datos!K20)*11)/factor_trimestre),((Datos!L20/Datos!K20)*11)/factor_trimestre," - ")</f>
        <v>4.6844919786096257</v>
      </c>
      <c r="BI20" s="1046">
        <f>SUBTOTAL(9,BI16:BI19)</f>
        <v>0.19162363740676994</v>
      </c>
      <c r="BJ20" s="1046">
        <f>SUBTOTAL(9,BJ16:BJ19)</f>
        <v>0</v>
      </c>
      <c r="BK20" s="1046">
        <f>SUBTOTAL(9,BK16:BK19)</f>
        <v>0</v>
      </c>
      <c r="BL20" s="1046">
        <f>IF(ISNUMBER((I20-AB20+L20)/(F20)),(I20-AB20+L20)/(F20)," - ")</f>
        <v>-0.63282571912013541</v>
      </c>
      <c r="BM20" s="1052">
        <f>IF(ISNUMBER((Datos!P20-Datos!Q20)/(Datos!R20-Datos!P20+Datos!Q20)),(Datos!P20-Datos!Q20)/(Datos!R20-Datos!P20+Datos!Q20)," - ")</f>
        <v>-2.6666666666666668E-2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597</v>
      </c>
      <c r="G21" s="967">
        <f t="shared" si="7"/>
        <v>620</v>
      </c>
      <c r="H21" s="969">
        <f t="shared" si="7"/>
        <v>0</v>
      </c>
      <c r="I21" s="967">
        <f t="shared" si="7"/>
        <v>0</v>
      </c>
      <c r="J21" s="969">
        <f t="shared" si="7"/>
        <v>0</v>
      </c>
      <c r="K21" s="969">
        <f t="shared" si="7"/>
        <v>0</v>
      </c>
      <c r="L21" s="1028">
        <f t="shared" si="7"/>
        <v>0</v>
      </c>
      <c r="M21" s="1028">
        <f t="shared" si="7"/>
        <v>0</v>
      </c>
      <c r="N21" s="1028">
        <f t="shared" si="7"/>
        <v>23</v>
      </c>
      <c r="O21" s="1028">
        <f t="shared" si="7"/>
        <v>0</v>
      </c>
      <c r="P21" s="1028">
        <f t="shared" si="7"/>
        <v>0</v>
      </c>
      <c r="Q21" s="969">
        <f t="shared" si="7"/>
        <v>99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376</v>
      </c>
      <c r="AC21" s="968">
        <f t="shared" si="8"/>
        <v>65</v>
      </c>
      <c r="AD21" s="968">
        <f t="shared" si="8"/>
        <v>0</v>
      </c>
      <c r="AE21" s="968">
        <f t="shared" si="8"/>
        <v>0</v>
      </c>
      <c r="AF21" s="975">
        <f t="shared" si="8"/>
        <v>589</v>
      </c>
      <c r="AG21" s="975">
        <f t="shared" si="8"/>
        <v>0</v>
      </c>
      <c r="AH21" s="975">
        <f t="shared" si="8"/>
        <v>12</v>
      </c>
      <c r="AI21" s="975">
        <f t="shared" si="8"/>
        <v>0</v>
      </c>
      <c r="AJ21" s="968">
        <f t="shared" si="8"/>
        <v>0</v>
      </c>
      <c r="AK21" s="975">
        <f t="shared" si="8"/>
        <v>0</v>
      </c>
      <c r="AL21" s="975">
        <f t="shared" si="8"/>
        <v>0</v>
      </c>
      <c r="AM21" s="975">
        <f t="shared" si="8"/>
        <v>1307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125</v>
      </c>
      <c r="BD21" s="967">
        <f t="shared" si="8"/>
        <v>335</v>
      </c>
      <c r="BE21" s="967">
        <f t="shared" si="8"/>
        <v>0</v>
      </c>
      <c r="BF21" s="977">
        <f t="shared" si="8"/>
        <v>0</v>
      </c>
      <c r="BG21" s="1062">
        <f>IF(ISNUMBER(Datos!K21/Datos!J21),Datos!K21/Datos!J21," - ")</f>
        <v>0.99255952380952384</v>
      </c>
      <c r="BH21" s="1062">
        <f>IF(ISNUMBER(((Datos!L21/Datos!K21)*11)/factor_trimestre),((Datos!L21/Datos!K21)*11)/factor_trimestre," - ")</f>
        <v>5.9505247376311843</v>
      </c>
      <c r="BI21" s="960">
        <f>IF(ISNUMBER(Datos!J21/Datos!I21),Datos!J21/Datos!I21," - ")</f>
        <v>0.50986342943854324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-0.62981574539363483</v>
      </c>
      <c r="BM21" s="1036">
        <f>IF(ISNUMBER((Datos!P21-Datos!Q21+R21)/(Datos!R21-Datos!P21+Datos!Q21-R21)),(Datos!P21-Datos!Q21+R21)/(Datos!R21-Datos!P21+Datos!Q21-R21)," - ")</f>
        <v>2.6708562450903379E-2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248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337.74990747593108</v>
      </c>
      <c r="G23" s="601">
        <f>IF(ISNUMBER(STDEV(G8:G20)),STDEV(G8:G20),"-")</f>
        <v>323.789283330996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186.26003328680042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38.949540005841747</v>
      </c>
      <c r="BD23" s="600"/>
      <c r="BE23" s="600">
        <f>IF(ISNUMBER(STDEV(BE8:BE20)),STDEV(BE8:BE20),"-")</f>
        <v>0</v>
      </c>
      <c r="BF23" s="605">
        <f>IF(ISNUMBER(STDEV(BF8:BF20)),STDEV(BF8:BF20),"-")</f>
        <v>0</v>
      </c>
      <c r="BG23" s="915">
        <f>IF(ISNUMBER(STDEV(BG8:BG20)),STDEV(BG8:BG20),"-")</f>
        <v>0.41999235526946987</v>
      </c>
      <c r="BH23" s="919">
        <f>IF(ISNUMBER(STDEV(BH8:BH20)),STDEV(BH8:BH20),"-")</f>
        <v>2.2303778386193054</v>
      </c>
      <c r="BI23" s="254">
        <f>IF(ISNUMBER(STDEV(BI8:BI20)),STDEV(BI8:BI20),"-")</f>
        <v>8.5528360217944202E-2</v>
      </c>
      <c r="BJ23" s="235" t="str">
        <f>IF(ISNUMBER(BL23/BM23),BL23/BM23," - ")</f>
        <v xml:space="preserve"> - </v>
      </c>
      <c r="BK23" s="627"/>
      <c r="BL23" s="608">
        <f>IF(ISNUMBER(STDEV(BL8:BL20)),STDEV(BL8:BL20),"-")</f>
        <v>0.21177309690358551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Gb599vbnYXv59gtBoIpjKz0+5YgQwSACDAZ4dJUegc1oOK8x6RfrM4RRIInIVbU4xHqa04mru4rtDdB6z8lFJQ==" saltValue="uR2ppEuiy/u7EfdKQpnJ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CADIZ  Resumenes por Partidos Judiciales  ROTA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v>
      </c>
      <c r="G10" s="507">
        <f>IF(ISNUMBER(Datos!I10),Datos!I10," - ")</f>
        <v>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5</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7.5</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90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54</v>
      </c>
      <c r="AA12" s="506" t="str">
        <f>IF(ISNUMBER(IF(J_V="SI",Datos!L12,Datos!L12+Datos!AB12)-IF(Monitorios="SI",Datos!CD12,0)),
                          IF(J_V="SI",Datos!L12,Datos!L12+Datos!AB12)-IF(Monitorios="SI",Datos!CD12,0),
                          " - ")</f>
        <v xml:space="preserve"> - </v>
      </c>
      <c r="AB12" s="504"/>
      <c r="AC12" s="504"/>
      <c r="AD12" s="517"/>
      <c r="AE12" s="517">
        <f>IF(ISNUMBER(Datos!R12),Datos!R12," - ")</f>
        <v>1234</v>
      </c>
      <c r="AF12" s="620" t="str">
        <f>IF(ISNUMBER(Datos!BV12),Datos!BV12," - ")</f>
        <v xml:space="preserve"> - </v>
      </c>
      <c r="AG12" s="507" t="str">
        <f>IF(ISNUMBER(Datos!DV12),Datos!DV12," - ")</f>
        <v xml:space="preserve"> - </v>
      </c>
      <c r="AH12" s="508"/>
      <c r="AI12" s="509"/>
      <c r="AJ12" s="507">
        <f>IF(ISNUMBER(Datos!M12),Datos!M12," - ")</f>
        <v>88</v>
      </c>
      <c r="AK12" s="620">
        <f>IF(ISNUMBER(Datos!N12),Datos!N12," - ")</f>
        <v>124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6.9074074074074083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3.0050083472454091E-2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6</v>
      </c>
      <c r="G14" s="1045">
        <f>SUBTOTAL(9,G8:G13)</f>
        <v>6</v>
      </c>
      <c r="H14" s="1055"/>
      <c r="I14" s="1045">
        <f t="shared" ref="I14:N14" si="1">SUBTOTAL(9,I8:I13)</f>
        <v>0</v>
      </c>
      <c r="J14" s="1014">
        <f t="shared" si="1"/>
        <v>0</v>
      </c>
      <c r="K14" s="1055">
        <f t="shared" si="1"/>
        <v>0</v>
      </c>
      <c r="L14" s="1055">
        <f t="shared" si="1"/>
        <v>0</v>
      </c>
      <c r="M14" s="1055">
        <f t="shared" si="1"/>
        <v>0</v>
      </c>
      <c r="N14" s="1055">
        <f t="shared" si="1"/>
        <v>90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54</v>
      </c>
      <c r="AA14" s="1047">
        <f t="shared" si="3"/>
        <v>5</v>
      </c>
      <c r="AB14" s="1047">
        <f t="shared" si="3"/>
        <v>0</v>
      </c>
      <c r="AC14" s="1047">
        <f t="shared" si="3"/>
        <v>0</v>
      </c>
      <c r="AD14" s="1047">
        <f t="shared" si="3"/>
        <v>0</v>
      </c>
      <c r="AE14" s="1047">
        <f t="shared" si="3"/>
        <v>1234</v>
      </c>
      <c r="AF14" s="1055">
        <f t="shared" si="3"/>
        <v>0</v>
      </c>
      <c r="AG14" s="1055">
        <f t="shared" si="3"/>
        <v>0</v>
      </c>
      <c r="AH14" s="1055">
        <f t="shared" si="3"/>
        <v>0</v>
      </c>
      <c r="AI14" s="1055">
        <f t="shared" si="3"/>
        <v>0</v>
      </c>
      <c r="AJ14" s="1055">
        <f t="shared" si="3"/>
        <v>89</v>
      </c>
      <c r="AK14" s="1055">
        <f t="shared" si="3"/>
        <v>124</v>
      </c>
      <c r="AL14" s="1055">
        <f t="shared" si="3"/>
        <v>0</v>
      </c>
      <c r="AM14" s="1055">
        <f t="shared" si="3"/>
        <v>0</v>
      </c>
      <c r="AN14" s="1055">
        <f t="shared" si="3"/>
        <v>0</v>
      </c>
      <c r="AO14" s="1051">
        <f>IF(ISNUMBER(((NºAsuntos!I14/NºAsuntos!G14)*11)/factor_trimestre),((NºAsuntos!I14/NºAsuntos!G14)*11)/factor_trimestre," - ")</f>
        <v>6.9110429447852759</v>
      </c>
      <c r="AP14" s="1057" t="str">
        <f>IF(ISNUMBER(Datos!CI14/Datos!CJ14),Datos!CI14/Datos!CJ14," - ")</f>
        <v xml:space="preserve"> - </v>
      </c>
      <c r="AQ14" s="1075">
        <f t="shared" ref="AQ14:AV14" si="4">SUBTOTAL(9,AQ9:AQ13)</f>
        <v>0</v>
      </c>
      <c r="AR14" s="1075">
        <f t="shared" si="4"/>
        <v>3.0050083472454091E-2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591</v>
      </c>
      <c r="G17" s="507">
        <f>IF(ISNUMBER(IF(D_I="SI",Datos!I17,Datos!I17+Datos!AC17)),IF(D_I="SI",Datos!I17,Datos!I17+Datos!AC17)," - ")</f>
        <v>591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332</v>
      </c>
      <c r="Z17" s="704">
        <f>IF(ISNUMBER(Datos!Q17),Datos!Q17," - ")</f>
        <v>11</v>
      </c>
      <c r="AA17" s="506">
        <f>IF(ISNUMBER(IF(D_I="SI",Datos!L17,Datos!L17+Datos!AF17)),IF(D_I="SI",Datos!L17,Datos!L17+Datos!AF17)," - ")</f>
        <v>559</v>
      </c>
      <c r="AB17" s="504"/>
      <c r="AC17" s="504"/>
      <c r="AD17" s="517"/>
      <c r="AE17" s="517">
        <f>IF(ISNUMBER(Datos!R17),Datos!R17," - ")</f>
        <v>73</v>
      </c>
      <c r="AF17" s="620" t="str">
        <f>IF(ISNUMBER(Datos!BV17),Datos!BV17," - ")</f>
        <v xml:space="preserve"> - </v>
      </c>
      <c r="AG17" s="507"/>
      <c r="AH17" s="508"/>
      <c r="AI17" s="509"/>
      <c r="AJ17" s="507">
        <f>IF(ISNUMBER(Datos!M17),Datos!M17," - ")</f>
        <v>32</v>
      </c>
      <c r="AK17" s="620">
        <f>IF(ISNUMBER(Datos!N17),Datos!N17," - ")</f>
        <v>179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5.0512048192771095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42</v>
      </c>
      <c r="Z18" s="704">
        <f>IF(ISNUMBER(Datos!Q18),Datos!Q18," - ")</f>
        <v>0</v>
      </c>
      <c r="AA18" s="506">
        <f>IF(ISNUMBER(Datos!L18),Datos!L18,"-")</f>
        <v>25</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4</v>
      </c>
      <c r="AK18" s="620">
        <f>IF(ISNUMBER(Datos!N18),Datos!N18," - ")</f>
        <v>32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1.7857142857142858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591</v>
      </c>
      <c r="G20" s="1045">
        <f>SUBTOTAL(9,G16:G19)</f>
        <v>614</v>
      </c>
      <c r="H20" s="1079">
        <f>SUBTOTAL(9,H16:H19)</f>
        <v>0</v>
      </c>
      <c r="I20" s="1058">
        <f>SUBTOTAL(9,I16:I19)</f>
        <v>0</v>
      </c>
      <c r="J20" s="1014">
        <f>SUBTOTAL(9,J15:J19)</f>
        <v>0</v>
      </c>
      <c r="K20" s="1079">
        <f t="shared" ref="K20:S20" si="5">SUBTOTAL(9,K16:K19)</f>
        <v>0</v>
      </c>
      <c r="L20" s="1079">
        <f t="shared" si="5"/>
        <v>0</v>
      </c>
      <c r="M20" s="1079">
        <f t="shared" si="5"/>
        <v>0</v>
      </c>
      <c r="N20" s="1079">
        <f t="shared" si="5"/>
        <v>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374</v>
      </c>
      <c r="Z20" s="1079">
        <f t="shared" si="6"/>
        <v>11</v>
      </c>
      <c r="AA20" s="1079">
        <f t="shared" si="6"/>
        <v>584</v>
      </c>
      <c r="AB20" s="1079">
        <f t="shared" si="6"/>
        <v>0</v>
      </c>
      <c r="AC20" s="1079">
        <f t="shared" si="6"/>
        <v>0</v>
      </c>
      <c r="AD20" s="1079">
        <f t="shared" si="6"/>
        <v>0</v>
      </c>
      <c r="AE20" s="1079">
        <f t="shared" si="6"/>
        <v>73</v>
      </c>
      <c r="AF20" s="1079">
        <f t="shared" si="6"/>
        <v>0</v>
      </c>
      <c r="AG20" s="1079">
        <f t="shared" si="6"/>
        <v>0</v>
      </c>
      <c r="AH20" s="1079">
        <f t="shared" si="6"/>
        <v>0</v>
      </c>
      <c r="AI20" s="1079">
        <f t="shared" si="6"/>
        <v>0</v>
      </c>
      <c r="AJ20" s="1079">
        <f t="shared" si="6"/>
        <v>36</v>
      </c>
      <c r="AK20" s="1079">
        <f t="shared" si="6"/>
        <v>211</v>
      </c>
      <c r="AL20" s="1079">
        <f t="shared" si="6"/>
        <v>0</v>
      </c>
      <c r="AM20" s="1079">
        <f t="shared" si="6"/>
        <v>0</v>
      </c>
      <c r="AN20" s="1079">
        <f t="shared" si="6"/>
        <v>0</v>
      </c>
      <c r="AO20" s="1081">
        <f>IF(ISNUMBER(((NºAsuntos!I20/NºAsuntos!G20)*11)/factor_trimestre),((NºAsuntos!I20/NºAsuntos!G20)*11)/factor_trimestre," - ")</f>
        <v>4.6844919786096257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597</v>
      </c>
      <c r="G21" s="967">
        <f t="shared" si="8"/>
        <v>620</v>
      </c>
      <c r="H21" s="968">
        <f t="shared" si="8"/>
        <v>0</v>
      </c>
      <c r="I21" s="967">
        <f t="shared" si="8"/>
        <v>0</v>
      </c>
      <c r="J21" s="969">
        <f t="shared" si="8"/>
        <v>0</v>
      </c>
      <c r="K21" s="967">
        <f t="shared" si="8"/>
        <v>0</v>
      </c>
      <c r="L21" s="970">
        <f t="shared" si="8"/>
        <v>0</v>
      </c>
      <c r="M21" s="967">
        <f t="shared" si="8"/>
        <v>0</v>
      </c>
      <c r="N21" s="968">
        <f t="shared" si="8"/>
        <v>99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376</v>
      </c>
      <c r="Z21" s="974">
        <f t="shared" si="9"/>
        <v>65</v>
      </c>
      <c r="AA21" s="975">
        <f t="shared" si="9"/>
        <v>589</v>
      </c>
      <c r="AB21" s="975">
        <f t="shared" si="9"/>
        <v>0</v>
      </c>
      <c r="AC21" s="975">
        <f t="shared" si="9"/>
        <v>0</v>
      </c>
      <c r="AD21" s="976">
        <f t="shared" si="9"/>
        <v>0</v>
      </c>
      <c r="AE21" s="976">
        <f t="shared" si="9"/>
        <v>1307</v>
      </c>
      <c r="AF21" s="977">
        <f t="shared" si="9"/>
        <v>0</v>
      </c>
      <c r="AG21" s="978">
        <f t="shared" si="9"/>
        <v>0</v>
      </c>
      <c r="AH21" s="979">
        <f t="shared" si="9"/>
        <v>0</v>
      </c>
      <c r="AI21" s="977">
        <f t="shared" si="9"/>
        <v>0</v>
      </c>
      <c r="AJ21" s="967">
        <f t="shared" si="9"/>
        <v>125</v>
      </c>
      <c r="AK21" s="967">
        <f t="shared" si="9"/>
        <v>335</v>
      </c>
      <c r="AL21" s="967">
        <f t="shared" si="9"/>
        <v>0</v>
      </c>
      <c r="AM21" s="980">
        <f t="shared" si="9"/>
        <v>0</v>
      </c>
      <c r="AN21" s="970">
        <f>IF(ISNUMBER(Datos!K21/Datos!J21),Datos!K21/Datos!J21," - ")</f>
        <v>0.99255952380952384</v>
      </c>
      <c r="AO21" s="970">
        <f>IF(ISNUMBER(FIND("06",Criterios!A8,1)),(IF(ISNUMBER(((Datos!R21/Datos!Q21)*11)/factor_trimestre),((Datos!R21/Datos!Q21)*11)/factor_trimestre," - ")),(IF(ISNUMBER(((Datos!L21/Datos!K21)*11)/factor_trimestre),((Datos!L21/Datos!K21)*11)/factor_trimestre," - ")))</f>
        <v>5.9505247376311843</v>
      </c>
      <c r="AP21" s="981" t="str">
        <f>IF(ISNUMBER(Datos!CI21/Datos!CJ21),Datos!CI21/Datos!CJ21," - ")</f>
        <v xml:space="preserve"> - </v>
      </c>
      <c r="AQ21" s="981">
        <f>IF(OR(ISNUMBER(FIND("01",Criterios!A8,1)),ISNUMBER(FIND("02",Criterios!A8,1)),ISNUMBER(FIND("03",Criterios!A8,1)),ISNUMBER(FIND("04",Criterios!A8,1))),(J21-Y21+K21)/(F21-K21),(I21-Y21+K21)/(F21-K21))</f>
        <v>-0.62981574539363483</v>
      </c>
      <c r="AR21" s="981">
        <f>IF(ISNUMBER((Datos!P21-Datos!Q21+O21)/(Datos!R21-Datos!P21+Datos!Q21-O21)),(Datos!P21-Datos!Q21+O21)/(Datos!R21-Datos!P21+Datos!Q21-O21)," - ")</f>
        <v>2.6708562450903379E-2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248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337.74990747593108</v>
      </c>
      <c r="G23" s="601">
        <f>IF(ISNUMBER(STDEV(G8:G20)),STDEV(G8:G20),"-")</f>
        <v>323.789283330996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38.949540005841747</v>
      </c>
      <c r="AK23" s="257"/>
      <c r="AL23" s="257">
        <f>IF(ISNUMBER(STDEV(AL8:AL20)),STDEV(AL8:AL20),"-")</f>
        <v>0</v>
      </c>
      <c r="AM23" s="259">
        <f>IF(ISNUMBER(STDEV(AM8:AM20)),STDEV(AM8:AM20),"-")</f>
        <v>0</v>
      </c>
      <c r="AN23" s="587">
        <f>IF(ISNUMBER(STDEV(AN8:AN20)),STDEV(AN8:AN20),"-")</f>
        <v>0</v>
      </c>
      <c r="AO23" s="588">
        <f>IF(ISNUMBER(STDEV(AO8:AO20)),STDEV(AO8:AO20),"-")</f>
        <v>2.1274375458299586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GchwZB/KsZIWDzpZJ/DdHr/H2BVNInisAtbWWaecD0VBiF8qoWJbPi2q7gYTWpGVqDiTtMuKCMbpybC37W0jYQ==" saltValue="MgdmfoNfdJ7SrbQNvn5O5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8bTv/ptp3FUVXmE/Sqkyj5MdJ4RqWaF4EKKvPAuIk5UGLrlpz2IUKOHg7Vz9D9pOkfnu0jIKuS9wCfbl5nf0Bg==" saltValue="Pp1YGpGWzPT0K/TyvMfV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s70M+qN3KEt000PE/czFfKlrGM2Z6yhp9Fuj205J3Rmprn63VZDkL1c62e3Fu4N9fP8CjK6oRYtPL18sNKMPg==" saltValue="M9EHzeYA86Sc8Ekm8Hqf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CADIZ  Resumenes por Partidos Judiciales  ROTA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0.27300613496932513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0.19304448934233964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E/Afc3t9OWOy7YaqmYwfdzShiI9moC3UmsErL345JkyaHqRsR+l+ho5WstdtET3166IDcZ0xBdc9dxeRwK9i3w==" saltValue="ctEYdj6pwC7lDlToZ0RP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nXxlVQtxgwnyR1au4FngpBS51nOdggN3QT13pjIFLq2OSDHH5zkLnN2GGsVWe0M0Zwcmn1NGuOAGgLXuxzCpag==" saltValue="W6cMgzdmoK6LpqdVkASl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CADIZ</v>
      </c>
      <c r="D3" s="400"/>
      <c r="E3" s="400"/>
      <c r="F3" s="400"/>
    </row>
    <row r="4" spans="1:14" ht="13.5" thickBot="1">
      <c r="A4" s="400"/>
      <c r="B4" s="403" t="str">
        <f>Criterios!A11 &amp;"  "&amp;Criterios!B11</f>
        <v>Resumenes por Partidos Judiciales  ROTA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v>
      </c>
      <c r="D10" s="416">
        <f>IF(ISNUMBER(C10/Datos!BH10),C10/Datos!BH10," - ")</f>
        <v>6</v>
      </c>
      <c r="E10" s="415">
        <f>IF(ISNUMBER(Datos!J10),Datos!J10," - ")</f>
        <v>1</v>
      </c>
      <c r="F10" s="416">
        <f>IF(ISNUMBER(E10/B10),E10/B10," - ")</f>
        <v>1</v>
      </c>
      <c r="G10" s="415">
        <f>IF(ISNUMBER(Datos!K10),Datos!K10," - ")</f>
        <v>2</v>
      </c>
      <c r="H10" s="416">
        <f>IF(ISNUMBER(G10/B10),G10/B10," - ")</f>
        <v>2</v>
      </c>
      <c r="I10" s="415">
        <f>IF(ISNUMBER(Datos!L10),Datos!L10," - ")</f>
        <v>5</v>
      </c>
      <c r="J10" s="416">
        <f>IF(ISNUMBER(I10/B10),I10/B10," - ")</f>
        <v>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720</v>
      </c>
      <c r="D12" s="416">
        <f>IF(ISNUMBER(C12/Datos!BH12),C12/Datos!BH12," - ")</f>
        <v>360</v>
      </c>
      <c r="E12" s="415">
        <f>IF(ISNUMBER(IF(J_V="SI",Datos!J12,Datos!J12+Datos!Z12)),IF(J_V="SI",Datos!J12,Datos!J12+Datos!Z12)," - ")</f>
        <v>350</v>
      </c>
      <c r="F12" s="416">
        <f>IF(ISNUMBER(E12/B12),E12/B12," - ")</f>
        <v>175</v>
      </c>
      <c r="G12" s="415">
        <f>IF(ISNUMBER(IF(J_V="SI",Datos!K12,Datos!K12+Datos!AA12)),IF(J_V="SI",Datos!K12,Datos!K12+Datos!AA12)," - ")</f>
        <v>324</v>
      </c>
      <c r="H12" s="416">
        <f>IF(ISNUMBER(G12/B12),G12/B12," - ")</f>
        <v>162</v>
      </c>
      <c r="I12" s="415">
        <f>IF(ISNUMBER(IF(J_V="SI",Datos!L12,Datos!L12+Datos!AB12)),IF(J_V="SI",Datos!L12,Datos!L12+Datos!AB12)," - ")</f>
        <v>746</v>
      </c>
      <c r="J12" s="416">
        <f>IF(ISNUMBER(I12/B12),I12/B12," - ")</f>
        <v>373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726</v>
      </c>
      <c r="D14" s="997" t="str">
        <f>IF(ISNUMBER(C14/Datos!BI14),C14/Datos!BI14," - ")</f>
        <v xml:space="preserve"> - </v>
      </c>
      <c r="E14" s="996">
        <f>SUBTOTAL(9,E8:E13)</f>
        <v>351</v>
      </c>
      <c r="F14" s="997">
        <f>IF(ISNUMBER(E14/B14),E14/B14," - ")</f>
        <v>175.5</v>
      </c>
      <c r="G14" s="996">
        <f>SUBTOTAL(9,G8:G13)</f>
        <v>326</v>
      </c>
      <c r="H14" s="997">
        <f>IF(ISNUMBER(G14/B14),G14/B14," - ")</f>
        <v>163</v>
      </c>
      <c r="I14" s="996">
        <f>SUBTOTAL(9,I8:I13)</f>
        <v>751</v>
      </c>
      <c r="J14" s="997">
        <f>IF(ISNUMBER(I14/B14),I14/B14," - ")</f>
        <v>375.5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591</v>
      </c>
      <c r="D17" s="416">
        <f>IF(ISNUMBER(C17/Datos!BH17),C17/Datos!BH17," - ")</f>
        <v>295.5</v>
      </c>
      <c r="E17" s="415">
        <f>IF(ISNUMBER(IF(D_I="SI",Datos!J17,Datos!J17+Datos!AD17)),IF(D_I="SI",Datos!J17,Datos!J17+Datos!AD17)," - ")</f>
        <v>300</v>
      </c>
      <c r="F17" s="416">
        <f>IF(ISNUMBER(E17/B17),E17/B17," - ")</f>
        <v>150</v>
      </c>
      <c r="G17" s="415">
        <f>IF(ISNUMBER(IF(D_I="SI",Datos!K17,Datos!K17+Datos!AE17)),IF(D_I="SI",Datos!K17,Datos!K17+Datos!AE17)," - ")</f>
        <v>332</v>
      </c>
      <c r="H17" s="416">
        <f>IF(ISNUMBER(G17/B17),G17/B17," - ")</f>
        <v>166</v>
      </c>
      <c r="I17" s="415">
        <f>IF(ISNUMBER(IF(D_I="SI",Datos!L17,Datos!L17+Datos!AF17)),IF(D_I="SI",Datos!L17,Datos!L17+Datos!AF17)," - ")</f>
        <v>559</v>
      </c>
      <c r="J17" s="416">
        <f>IF(ISNUMBER(I17/B17),I17/B17," - ")</f>
        <v>279.5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23</v>
      </c>
      <c r="D18" s="416">
        <f>IF(ISNUMBER(C18/Datos!BH18),C18/Datos!BH18," - ")</f>
        <v>23</v>
      </c>
      <c r="E18" s="415">
        <f>IF(ISNUMBER(IF(D_I="SI",Datos!J18,Datos!J18+Datos!AD18)),IF(D_I="SI",Datos!J18,Datos!J18+Datos!AD18)," - ")</f>
        <v>44</v>
      </c>
      <c r="F18" s="416">
        <f>IF(ISNUMBER(E18/B18),E18/B18," - ")</f>
        <v>44</v>
      </c>
      <c r="G18" s="415">
        <f>IF(ISNUMBER(IF(D_I="SI",Datos!K18,Datos!K18+Datos!AE18)),IF(D_I="SI",Datos!K18,Datos!K18+Datos!AE18)," - ")</f>
        <v>42</v>
      </c>
      <c r="H18" s="416">
        <f>IF(ISNUMBER(G18/B18),G18/B18," - ")</f>
        <v>42</v>
      </c>
      <c r="I18" s="415">
        <f>IF(ISNUMBER(IF(D_I="SI",Datos!L18,Datos!L18+Datos!AF18)),IF(D_I="SI",Datos!L18,Datos!L18+Datos!AF18)," - ")</f>
        <v>25</v>
      </c>
      <c r="J18" s="416">
        <f>IF(ISNUMBER(I18/B18),I18/B18," - ")</f>
        <v>25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614</v>
      </c>
      <c r="D20" s="997" t="str">
        <f>IF(ISNUMBER(C20/Datos!BI20),C20/Datos!BI20," - ")</f>
        <v xml:space="preserve"> - </v>
      </c>
      <c r="E20" s="996">
        <f>SUBTOTAL(9,E15:E19)</f>
        <v>344</v>
      </c>
      <c r="F20" s="997">
        <f>IF(ISNUMBER(E20/B20),E20/B20," - ")</f>
        <v>172</v>
      </c>
      <c r="G20" s="996">
        <f>SUBTOTAL(9,G15:G19)</f>
        <v>374</v>
      </c>
      <c r="H20" s="997">
        <f>IF(ISNUMBER(G20/B20),G20/B20," - ")</f>
        <v>187</v>
      </c>
      <c r="I20" s="996">
        <f>SUBTOTAL(9,I15:I19)</f>
        <v>584</v>
      </c>
      <c r="J20" s="997">
        <f>IF(ISNUMBER(I20/B20),I20/B20," - ")</f>
        <v>292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1340</v>
      </c>
      <c r="D21" s="942" t="str">
        <f>IF(ISNUMBER(C21/Datos!BI21),C21/Datos!BI21," - ")</f>
        <v xml:space="preserve"> - </v>
      </c>
      <c r="E21" s="941">
        <f>SUBTOTAL(9,E9:E20)</f>
        <v>695</v>
      </c>
      <c r="F21" s="942">
        <f>IF(ISNUMBER(E21/B21),E21/B21," - ")</f>
        <v>347.5</v>
      </c>
      <c r="G21" s="941">
        <f>SUBTOTAL(9,G9:G20)</f>
        <v>700</v>
      </c>
      <c r="H21" s="942">
        <f>IF(ISNUMBER(G21/B21),G21/B21," - ")</f>
        <v>350</v>
      </c>
      <c r="I21" s="941">
        <f>SUBTOTAL(9,I9:I20)</f>
        <v>1335</v>
      </c>
      <c r="J21" s="942">
        <f>IF(ISNUMBER(I21/B21),I21/B21," - ")</f>
        <v>667.5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h1/e6tqS58YmsR+Y3dcgsqwj79/rX0epKvTkiznsH4he2M/Ag7bRR63U43zYZdlccR4UfWxjeW0QkLKLqHojaQ==" saltValue="+lhWoKH6q6iqIeNqdIoRH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CADIZ  Resumenes por Partidos Judiciales  ROTA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v>
      </c>
      <c r="G10" s="803">
        <f>IF(ISNUMBER(Datos!I10),Datos!I10," - ")</f>
        <v>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90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1234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88</v>
      </c>
      <c r="AM12" s="811">
        <f>IF(ISNUMBER(Datos!N12+DatosP!N17),Datos!N12+DatosP!N17," - ")</f>
        <v>124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6.9074074074074083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3.0050083472454091E-2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6</v>
      </c>
      <c r="G14" s="1085">
        <f t="shared" si="0"/>
        <v>6</v>
      </c>
      <c r="H14" s="1085">
        <f t="shared" si="0"/>
        <v>0</v>
      </c>
      <c r="I14" s="1087">
        <f t="shared" si="0"/>
        <v>0</v>
      </c>
      <c r="J14" s="1086">
        <f t="shared" si="0"/>
        <v>0</v>
      </c>
      <c r="K14" s="1086">
        <f t="shared" si="0"/>
        <v>0</v>
      </c>
      <c r="L14" s="1088">
        <f t="shared" si="0"/>
        <v>0</v>
      </c>
      <c r="M14" s="1088">
        <f t="shared" si="0"/>
        <v>0</v>
      </c>
      <c r="N14" s="1086">
        <f t="shared" si="0"/>
        <v>90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54</v>
      </c>
      <c r="AE14" s="1086">
        <f t="shared" si="1"/>
        <v>0</v>
      </c>
      <c r="AF14" s="1086">
        <f t="shared" si="1"/>
        <v>5</v>
      </c>
      <c r="AG14" s="1086">
        <f t="shared" si="1"/>
        <v>0</v>
      </c>
      <c r="AH14" s="1086">
        <f t="shared" si="1"/>
        <v>1234</v>
      </c>
      <c r="AI14" s="1086">
        <f t="shared" si="1"/>
        <v>0</v>
      </c>
      <c r="AJ14" s="1086">
        <f t="shared" si="1"/>
        <v>0</v>
      </c>
      <c r="AK14" s="1086">
        <f t="shared" si="1"/>
        <v>0</v>
      </c>
      <c r="AL14" s="1086">
        <f t="shared" si="1"/>
        <v>89</v>
      </c>
      <c r="AM14" s="1086">
        <f t="shared" si="1"/>
        <v>124</v>
      </c>
      <c r="AN14" s="1086">
        <f t="shared" si="1"/>
        <v>0</v>
      </c>
      <c r="AO14" s="1086">
        <f t="shared" si="1"/>
        <v>0</v>
      </c>
      <c r="AP14" s="1091">
        <f>IF(ISNUMBER(((Datos!L14/Datos!K14)*11)/factor_trimestre),((Datos!L14/Datos!K14)*11)/factor_trimestre," - ")</f>
        <v>7.5665529010238908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-0.33333333333333331</v>
      </c>
      <c r="AU14" s="1086" t="str">
        <f>IF(ISNUMBER((DatosP!#REF!-DatosP!#REF!+DatosP!#REF!)/(DatosP!#REF!+DatosP!#REF!-DatosP!#REF!-DatosP!#REF!)),(DatosP!#REF!-DatosP!#REF!+DatosP!#REF!)/(DatosP!#REF!+DatosP!#REF!-DatosP!#REF!-DatosP!#REF!)," - ")</f>
        <v xml:space="preserve"> - </v>
      </c>
      <c r="AV14" s="1092">
        <f>SUBTOTAL(9,AV9:AV13)</f>
        <v>3.0050083472454091E-2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4.6844919786096257</v>
      </c>
      <c r="AQ20" s="1091">
        <f>IF(ISNUMBER(((Datos!M20/Datos!L20)*11)/factor_trimestre),((Datos!M20/Datos!L20)*11)/factor_trimestre," - ")</f>
        <v>0.18493150684931506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-2.6666666666666668E-2</v>
      </c>
      <c r="AW20" s="1093">
        <f>IF(ISNUMBER((Datos!Q20-Datos!R20)/(Datos!S20-Datos!Q20+Datos!R20)),(Datos!Q20-Datos!R20)/(Datos!S20-Datos!Q20+Datos!R20)," - ")</f>
        <v>-0.10247933884297521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6</v>
      </c>
      <c r="G21" s="1098">
        <f t="shared" si="4"/>
        <v>6</v>
      </c>
      <c r="H21" s="1098">
        <f t="shared" si="4"/>
        <v>0</v>
      </c>
      <c r="I21" s="1099">
        <f t="shared" si="4"/>
        <v>0</v>
      </c>
      <c r="J21" s="1100">
        <f t="shared" si="4"/>
        <v>0</v>
      </c>
      <c r="K21" s="1100">
        <f t="shared" si="4"/>
        <v>0</v>
      </c>
      <c r="L21" s="1100">
        <f t="shared" si="4"/>
        <v>0</v>
      </c>
      <c r="M21" s="1100">
        <f t="shared" si="4"/>
        <v>0</v>
      </c>
      <c r="N21" s="1099">
        <f t="shared" si="4"/>
        <v>90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54</v>
      </c>
      <c r="AE21" s="1104">
        <f t="shared" si="5"/>
        <v>0</v>
      </c>
      <c r="AF21" s="1105">
        <f t="shared" si="5"/>
        <v>5</v>
      </c>
      <c r="AG21" s="1105">
        <f t="shared" si="5"/>
        <v>0</v>
      </c>
      <c r="AH21" s="1105">
        <f t="shared" si="5"/>
        <v>1234</v>
      </c>
      <c r="AI21" s="1105">
        <f t="shared" si="5"/>
        <v>0</v>
      </c>
      <c r="AJ21" s="1106">
        <f t="shared" si="5"/>
        <v>0</v>
      </c>
      <c r="AK21" s="1106">
        <f t="shared" si="5"/>
        <v>0</v>
      </c>
      <c r="AL21" s="1098">
        <f t="shared" si="5"/>
        <v>89</v>
      </c>
      <c r="AM21" s="1098">
        <f t="shared" si="5"/>
        <v>124</v>
      </c>
      <c r="AN21" s="1098">
        <f t="shared" si="5"/>
        <v>0</v>
      </c>
      <c r="AO21" s="1098">
        <f t="shared" si="5"/>
        <v>0</v>
      </c>
      <c r="AP21" s="1098">
        <f>IF(ISNUMBER(((Datos!L21/Datos!K21)*11)/factor_trimestre),((Datos!L21/Datos!K21)*11)/factor_trimestre," - ")</f>
        <v>5.9505247376311843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-0.33333333333333331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2.6708562450903379E-2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3.4641016151377544</v>
      </c>
      <c r="G23" s="871">
        <f>IF(ISNUMBER(STDEV(G8:G20)),STDEV(G8:G20),"-")</f>
        <v>3.4641016151377544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50.810103982049341</v>
      </c>
      <c r="AM23" s="870"/>
      <c r="AN23" s="870">
        <f>IF(ISNUMBER(STDEV(AN8:AN20)),STDEV(AN8:AN20),"-")</f>
        <v>0</v>
      </c>
      <c r="AO23" s="876">
        <f>IF(ISNUMBER(STDEV(AO8:AO20)),STDEV(AO8:AO20),"-")</f>
        <v>0</v>
      </c>
      <c r="AP23" s="923">
        <f>IF(ISNUMBER(STDEV(AP8:AP20)),STDEV(AP8:AP20),"-")</f>
        <v>1.3529221963892777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4dEGXjwhg5qP8TTiRUO8MlYF+NH6FBR7CE25SMwl8VFgWQwlAA7N+Pnjv451yKKn64CWGWQNodA3TkuiEmIbAQ==" saltValue="IFoLbxmnO3QXd2v7Rl6D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CADIZ</v>
      </c>
      <c r="C3" s="427"/>
      <c r="F3" s="400"/>
      <c r="G3" s="400"/>
      <c r="H3" s="400"/>
    </row>
    <row r="4" spans="1:15" ht="13.5" thickBot="1">
      <c r="A4" s="400"/>
      <c r="B4" s="403" t="str">
        <f>Criterios!A11 &amp;"  "&amp;Criterios!B11</f>
        <v>Resumenes por Partidos Judiciales  ROTA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maR6b7xf8DtdDpqky3n3Xj2vs2oqs2IgSIfZw8TuMFPH7IHOBX8hm4qQbXgHgcQKMn5SLpdihERNk+MPj9oR5g==" saltValue="bcNaRFwUgISUrN28Nq4n0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CADIZ</v>
      </c>
      <c r="C3" s="439"/>
      <c r="D3" s="440"/>
    </row>
    <row r="4" spans="1:9" ht="13.5" thickBot="1">
      <c r="B4" s="441" t="str">
        <f>Criterios!A11 &amp;"  "&amp;Criterios!B11</f>
        <v>Resumenes por Partidos Judiciales  ROTA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88</v>
      </c>
      <c r="E12" s="416">
        <f t="shared" si="0"/>
        <v>44</v>
      </c>
      <c r="F12" s="415">
        <f>IF(ISNUMBER(Datos!N12),Datos!N12," - ")</f>
        <v>124</v>
      </c>
      <c r="G12" s="416">
        <f t="shared" si="1"/>
        <v>62</v>
      </c>
      <c r="H12" s="415">
        <f>IF(ISNUMBER(Datos!O12),Datos!O12," - ")</f>
        <v>146</v>
      </c>
      <c r="I12" s="416">
        <f t="shared" si="2"/>
        <v>73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89</v>
      </c>
      <c r="E14" s="997">
        <f t="shared" si="0"/>
        <v>29.666666666666668</v>
      </c>
      <c r="F14" s="996">
        <f>SUBTOTAL(9,F9:F13)</f>
        <v>124</v>
      </c>
      <c r="G14" s="997">
        <f t="shared" si="1"/>
        <v>41.333333333333336</v>
      </c>
      <c r="H14" s="996">
        <f>SUBTOTAL(9,H9:H13)</f>
        <v>146</v>
      </c>
      <c r="I14" s="997">
        <f>IF(ISNUMBER(H14/B14),H14/B14," - ")</f>
        <v>48.666666666666664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32</v>
      </c>
      <c r="E17" s="416">
        <f t="shared" si="3"/>
        <v>16</v>
      </c>
      <c r="F17" s="415">
        <f>IF(ISNUMBER(Datos!N17),Datos!N17," - ")</f>
        <v>179</v>
      </c>
      <c r="G17" s="416">
        <f t="shared" si="4"/>
        <v>89.5</v>
      </c>
      <c r="H17" s="415">
        <f>IF(ISNUMBER(Datos!O17),Datos!O17," - ")</f>
        <v>0</v>
      </c>
      <c r="I17" s="416">
        <f t="shared" si="5"/>
        <v>0</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32</v>
      </c>
      <c r="G18" s="416">
        <f>IF(ISNUMBER(F18/B18),F18/B18," - ")</f>
        <v>32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36</v>
      </c>
      <c r="E20" s="997">
        <f t="shared" si="3"/>
        <v>12</v>
      </c>
      <c r="F20" s="996">
        <f>SUBTOTAL(9,F16:F19)</f>
        <v>211</v>
      </c>
      <c r="G20" s="997">
        <f t="shared" si="4"/>
        <v>70.333333333333329</v>
      </c>
      <c r="H20" s="996">
        <f>SUBTOTAL(9,H16:H19)</f>
        <v>0</v>
      </c>
      <c r="I20" s="997">
        <f>IF(ISNUMBER(H20/B20),H20/B20," - ")</f>
        <v>0</v>
      </c>
    </row>
    <row r="21" spans="1:9" ht="14.25" thickTop="1" thickBot="1">
      <c r="A21" s="940" t="str">
        <f>Datos!A21</f>
        <v>TOTAL JURISDICCIONES</v>
      </c>
      <c r="B21" s="941">
        <f>Datos!AP21</f>
        <v>2</v>
      </c>
      <c r="C21" s="941">
        <f>Datos!AR21</f>
        <v>2</v>
      </c>
      <c r="D21" s="941">
        <f>SUBTOTAL(9,D8:D20)</f>
        <v>125</v>
      </c>
      <c r="E21" s="942">
        <f>IF(ISNUMBER(D21/B21),D21/B21," - ")</f>
        <v>62.5</v>
      </c>
      <c r="F21" s="941">
        <f>SUBTOTAL(9,F8:F20)</f>
        <v>335</v>
      </c>
      <c r="G21" s="942">
        <f>IF(ISNUMBER(F21/B21),F21/B21," - ")</f>
        <v>167.5</v>
      </c>
      <c r="H21" s="941">
        <f>SUBTOTAL(9,H8:H20)</f>
        <v>146</v>
      </c>
      <c r="I21" s="942">
        <f>IF(ISNUMBER(H21/B21),H21/B21," - ")</f>
        <v>73</v>
      </c>
    </row>
    <row r="24" spans="1:9">
      <c r="A24" s="403" t="str">
        <f>Criterios!A4</f>
        <v>Fecha Informe: 06 jun. 2023</v>
      </c>
    </row>
    <row r="29" spans="1:9">
      <c r="A29" s="426"/>
    </row>
  </sheetData>
  <sheetProtection algorithmName="SHA-512" hashValue="veItaxwfsz3Sex0ZkBetZ8Llyn/Kn590miinnDZyNFUG1CTbbxJIJehyr0Uu9FSroxUlFRGS22LavLjAe9Vakg==" saltValue="LKDA+VurzK8CxgIb8FWX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CADIZ</v>
      </c>
    </row>
    <row r="4" spans="1:4" ht="13.5" thickBot="1">
      <c r="B4" s="403" t="str">
        <f>Criterios!A11 &amp;"  "&amp;Criterios!B11</f>
        <v>Resumenes por Partidos Judiciales  ROTA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90</v>
      </c>
      <c r="C12" s="451">
        <f>IF(ISNUMBER(Datos!Q12),Datos!Q12," - ")</f>
        <v>54</v>
      </c>
      <c r="D12" s="420">
        <f>IF(ISNUMBER(Datos!R12),Datos!R12," - ")</f>
        <v>1234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90</v>
      </c>
      <c r="C14" s="1000">
        <f>SUBTOTAL(9,C9:C13)</f>
        <v>54</v>
      </c>
      <c r="D14" s="998">
        <f>SUBTOTAL(9,D9:D13)</f>
        <v>1234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v>
      </c>
      <c r="C17" s="451">
        <f>IF(ISNUMBER(Datos!Q17),Datos!Q17," - ")</f>
        <v>11</v>
      </c>
      <c r="D17" s="420">
        <f>IF(ISNUMBER(Datos!R17),Datos!R17," - ")</f>
        <v>73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v>
      </c>
      <c r="C20" s="1000">
        <f>SUBTOTAL(9,C16:C19)</f>
        <v>11</v>
      </c>
      <c r="D20" s="998">
        <f>SUBTOTAL(9,D16:D19)</f>
        <v>73</v>
      </c>
    </row>
    <row r="21" spans="1:4" ht="16.5" customHeight="1" thickTop="1" thickBot="1">
      <c r="A21" s="940" t="str">
        <f>Datos!A21</f>
        <v>TOTAL JURISDICCIONES</v>
      </c>
      <c r="B21" s="945">
        <f>SUBTOTAL(9,B8:B20)</f>
        <v>99</v>
      </c>
      <c r="C21" s="946">
        <f>SUBTOTAL(9,C8:C20)</f>
        <v>65</v>
      </c>
      <c r="D21" s="947">
        <f>SUBTOTAL(9,D8:D20)</f>
        <v>1307</v>
      </c>
    </row>
    <row r="22" spans="1:4" ht="7.5" customHeight="1"/>
    <row r="23" spans="1:4" ht="6" customHeight="1"/>
    <row r="24" spans="1:4">
      <c r="A24" s="403" t="str">
        <f>Criterios!A4</f>
        <v>Fecha Informe: 06 jun. 2023</v>
      </c>
    </row>
    <row r="29" spans="1:4">
      <c r="A29" s="426"/>
    </row>
  </sheetData>
  <sheetProtection algorithmName="SHA-512" hashValue="gUcyWKk+SHtYtKz5rNZTzguijUQn34D29gkPqJV3vFPrxftl2f1Z9QfCQ/Csczd4e3ZaCrEOgh9YcMgZ7dveQA==" saltValue="1wp7KPn+LrThO1uF7G/g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CADIZ</v>
      </c>
    </row>
    <row r="4" spans="1:11" ht="10.5" customHeight="1" thickBot="1">
      <c r="B4" s="403" t="str">
        <f>Criterios!A11 &amp;"  "&amp;Criterios!B11</f>
        <v>Resumenes por Partidos Judiciales  ROTA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v>
      </c>
      <c r="C10" s="473">
        <f>IF(ISNUMBER((Datos!J10-Datos!T10)/Datos!T10),(Datos!J10-Datos!T10)/Datos!T10," - ")</f>
        <v>0</v>
      </c>
      <c r="D10" s="473" t="str">
        <f>IF(ISNUMBER((Datos!K10-Datos!U10)/Datos!U10),(Datos!K10-Datos!U10)/Datos!U10," - ")</f>
        <v xml:space="preserve"> - </v>
      </c>
      <c r="E10" s="473">
        <f>IF(ISNUMBER((Datos!L10-Datos!V10)/Datos!V10),(Datos!L10-Datos!V10)/Datos!V10," - ")</f>
        <v>-0.54545454545454541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5.1094890510948905E-2</v>
      </c>
      <c r="C12" s="473">
        <f>IF(ISNUMBER(
   IF(J_V="SI",(Datos!J12-Datos!T12)/Datos!T12,(Datos!J12+Datos!Z12-(Datos!T12+Datos!AH12))/(Datos!T12+Datos!AH12))
     ),IF(J_V="SI",(Datos!J12-Datos!T12)/Datos!T12,(Datos!J12+Datos!Z12-(Datos!T12+Datos!AH12))/(Datos!T12+Datos!AH12))," - ")</f>
        <v>0.33079847908745247</v>
      </c>
      <c r="D12" s="473">
        <f>IF(ISNUMBER(
   IF(J_V="SI",(Datos!K12-Datos!U12)/Datos!U12,(Datos!K12+Datos!AA12-(Datos!U12+Datos!AI12))/(Datos!U12+Datos!AI12))
     ),IF(J_V="SI",(Datos!K12-Datos!U12)/Datos!U12,(Datos!K12+Datos!AA12-(Datos!U12+Datos!AI12))/(Datos!U12+Datos!AI12))," - ")</f>
        <v>1.5673981191222569E-2</v>
      </c>
      <c r="E12" s="473">
        <f>IF(ISNUMBER(
   IF(J_V="SI",(Datos!L12-Datos!V12)/Datos!V12,(Datos!L12+Datos!AB12-(Datos!V12+Datos!AJ12))/(Datos!V12+Datos!AJ12))
     ),IF(J_V="SI",(Datos!L12-Datos!V12)/Datos!V12,(Datos!L12+Datos!AB12-(Datos!V12+Datos!AJ12))/(Datos!V12+Datos!AJ12))," - ")</f>
        <v>0.18600953895071543</v>
      </c>
      <c r="F12" s="473">
        <f>IF(ISNUMBER((Datos!M12-Datos!W12)/Datos!W12),(Datos!M12-Datos!W12)/Datos!W12," - ")</f>
        <v>-0.18518518518518517</v>
      </c>
      <c r="G12" s="474">
        <f>IF(ISNUMBER((Datos!N12-Datos!X12)/Datos!X12),(Datos!N12-Datos!X12)/Datos!X12," - ")</f>
        <v>-8.8235294117647065E-2</v>
      </c>
      <c r="H12" s="472">
        <f>IF(ISNUMBER(((NºAsuntos!G12/NºAsuntos!E12)-Datos!BD12)/Datos!BD12),((NºAsuntos!G12/NºAsuntos!E12)-Datos!BD12)/Datos!BD12," - ")</f>
        <v>-0.23679355127630994</v>
      </c>
      <c r="I12" s="473">
        <f>IF(ISNUMBER(((NºAsuntos!I12/NºAsuntos!G12)-Datos!BE12)/Datos!BE12),((NºAsuntos!I12/NºAsuntos!G12)-Datos!BE12)/Datos!BE12," - ")</f>
        <v>0.16770692260888342</v>
      </c>
      <c r="J12" s="478">
        <f>IF(ISNUMBER((('Resol  Asuntos'!D12/NºAsuntos!G12)-Datos!BF12)/Datos!BF12),(('Resol  Asuntos'!D12/NºAsuntos!G12)-Datos!BF12)/Datos!BF12," - ")</f>
        <v>-0.36292665214233844</v>
      </c>
      <c r="K12" s="479">
        <f>IF(ISNUMBER((((NºAsuntos!C12+NºAsuntos!E12)/NºAsuntos!G12)-Datos!BG12)/Datos!BG12),(((NºAsuntos!C12+NºAsuntos!E12)/NºAsuntos!G12)-Datos!BG12)/Datos!BG12," - ")</f>
        <v>0.11127389696306716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4.4604316546762592E-2</v>
      </c>
      <c r="C14" s="1002">
        <f>IF(ISNUMBER(
   IF(J_V="SI",(Datos!J14-Datos!T14)/Datos!T14,(Datos!J14+Datos!Z14-(Datos!T14+Datos!AH14))/(Datos!T14+Datos!AH14))
     ),IF(J_V="SI",(Datos!J14-Datos!T14)/Datos!T14,(Datos!J14+Datos!Z14-(Datos!T14+Datos!AH14))/(Datos!T14+Datos!AH14))," - ")</f>
        <v>0.32954545454545453</v>
      </c>
      <c r="D14" s="1002">
        <f>IF(ISNUMBER(
   IF(J_V="SI",(Datos!K14-Datos!U14)/Datos!U14,(Datos!K14+Datos!AA14-(Datos!U14+Datos!AI14))/(Datos!U14+Datos!AI14))
     ),IF(J_V="SI",(Datos!K14-Datos!U14)/Datos!U14,(Datos!K14+Datos!AA14-(Datos!U14+Datos!AI14))/(Datos!U14+Datos!AI14))," - ")</f>
        <v>2.1943573667711599E-2</v>
      </c>
      <c r="E14" s="1002">
        <f>IF(ISNUMBER(
   IF(J_V="SI",(Datos!L14-Datos!V14)/Datos!V14,(Datos!L14+Datos!AB14-(Datos!V14+Datos!AJ14))/(Datos!V14+Datos!AJ14))
     ),IF(J_V="SI",(Datos!L14-Datos!V14)/Datos!V14,(Datos!L14+Datos!AB14-(Datos!V14+Datos!AJ14))/(Datos!V14+Datos!AJ14))," - ")</f>
        <v>0.17343749999999999</v>
      </c>
      <c r="F14" s="1003">
        <f>IF(ISNUMBER((Datos!M14-Datos!W14)/Datos!W14),(Datos!M14-Datos!W14)/Datos!W14," - ")</f>
        <v>-0.17592592592592593</v>
      </c>
      <c r="G14" s="1004">
        <f>IF(ISNUMBER((Datos!N14-Datos!X14)/Datos!X14),(Datos!N14-Datos!X14)/Datos!X14," - ")</f>
        <v>-8.8235294117647065E-2</v>
      </c>
      <c r="H14" s="1004">
        <f>IF(ISNUMBER(((NºAsuntos!G14/NºAsuntos!E14)-Datos!BD14)/Datos!BD14),((NºAsuntos!G14/NºAsuntos!E14)-Datos!BD14)/Datos!BD14," - ")</f>
        <v>-0.23135867963454168</v>
      </c>
      <c r="I14" s="1004">
        <f>IF(ISNUMBER(((NºAsuntos!I14/NºAsuntos!G14)-Datos!BE14)/Datos!BE14),((NºAsuntos!I14/NºAsuntos!G14)-Datos!BE14)/Datos!BE14," - ")</f>
        <v>0.14824098926380369</v>
      </c>
      <c r="J14" s="1004">
        <f>IF(ISNUMBER((('Resol  Asuntos'!D14/NºAsuntos!G14)-Datos!BF14)/Datos!BF14),(('Resol  Asuntos'!D14/NºAsuntos!G14)-Datos!BF14)/Datos!BF14," - ")</f>
        <v>-0.35964002165283299</v>
      </c>
      <c r="K14" s="1004">
        <f>IF(ISNUMBER((((NºAsuntos!C14+NºAsuntos!E14)/NºAsuntos!G14)-Datos!BG14)/Datos!BG14),(((NºAsuntos!C14+NºAsuntos!E14)/NºAsuntos!G14)-Datos!BG14)/Datos!BG14," - ")</f>
        <v>9.8930378653633327E-2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0.13653846153846153</v>
      </c>
      <c r="C17" s="473">
        <f>IF(ISNUMBER(
   IF(D_I="SI",(Datos!J17-Datos!T17)/Datos!T17,(Datos!J17+Datos!AD17-(Datos!T17+Datos!AL17))/(Datos!T17+Datos!AL17))
     ),IF(D_I="SI",(Datos!J17-Datos!T17)/Datos!T17,(Datos!J17+Datos!AD17-(Datos!T17+Datos!AL17))/(Datos!T17+Datos!AL17))," - ")</f>
        <v>0.12359550561797752</v>
      </c>
      <c r="D17" s="473">
        <f>IF(ISNUMBER(
   IF(D_I="SI",(Datos!K17-Datos!U17)/Datos!U17,(Datos!K17+Datos!AE17-(Datos!U17+Datos!AM17))/(Datos!U17+Datos!AM17))
     ),IF(D_I="SI",(Datos!K17-Datos!U17)/Datos!U17,(Datos!K17+Datos!AE17-(Datos!U17+Datos!AM17))/(Datos!U17+Datos!AM17))," - ")</f>
        <v>0.14089347079037801</v>
      </c>
      <c r="E17" s="473">
        <f>IF(ISNUMBER(
   IF(D_I="SI",(Datos!L17-Datos!V17)/Datos!V17,(Datos!L17+Datos!AF17-(Datos!V17+Datos!AN17))/(Datos!V17+Datos!AN17))
     ),IF(D_I="SI",(Datos!L17-Datos!V17)/Datos!V17,(Datos!L17+Datos!AF17-(Datos!V17+Datos!AN17))/(Datos!V17+Datos!AN17))," - ")</f>
        <v>0.12701612903225806</v>
      </c>
      <c r="F17" s="473">
        <f>IF(ISNUMBER((Datos!M17-Datos!W17)/Datos!W17),(Datos!M17-Datos!W17)/Datos!W17," - ")</f>
        <v>-0.36</v>
      </c>
      <c r="G17" s="474">
        <f>IF(ISNUMBER((Datos!N17-Datos!X17)/Datos!X17),(Datos!N17-Datos!X17)/Datos!X17," - ")</f>
        <v>0.65740740740740744</v>
      </c>
      <c r="H17" s="472">
        <f>IF(ISNUMBER(((NºAsuntos!G17/NºAsuntos!E17)-Datos!BD17)/Datos!BD17),((NºAsuntos!G17/NºAsuntos!E17)-Datos!BD17)/Datos!BD17," - ")</f>
        <v>1.5395189003436447E-2</v>
      </c>
      <c r="I17" s="473">
        <f>IF(ISNUMBER(((NºAsuntos!I17/NºAsuntos!G17)-Datos!BE17)/Datos!BE17),((NºAsuntos!I17/NºAsuntos!G17)-Datos!BE17)/Datos!BE17," - ")</f>
        <v>-1.2163573649436384E-2</v>
      </c>
      <c r="J17" s="478">
        <f>IF(ISNUMBER((('Resol  Asuntos'!D17/NºAsuntos!G17)-Datos!BF17)/Datos!BF17),(('Resol  Asuntos'!D17/NºAsuntos!G17)-Datos!BF17)/Datos!BF17," - ")</f>
        <v>-0.43903614457831325</v>
      </c>
      <c r="K17" s="479">
        <f>IF(ISNUMBER((((NºAsuntos!C17+NºAsuntos!E17)/NºAsuntos!G17)-Datos!BG17)/Datos!BG17),(((NºAsuntos!C17+NºAsuntos!E17)/NºAsuntos!G17)-Datos!BG17)/Datos!BG17," - ")</f>
        <v>-7.6659879671162768E-3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v>
      </c>
      <c r="C18" s="473">
        <f>IF(ISNUMBER(
   IF(D_I="SI",(Datos!J18-Datos!T18)/Datos!T18,(Datos!J18+Datos!AD18-(Datos!T18+Datos!AL18))/(Datos!T18+Datos!AL18))
     ),IF(D_I="SI",(Datos!J18-Datos!T18)/Datos!T18,(Datos!J18+Datos!AD18-(Datos!T18+Datos!AL18))/(Datos!T18+Datos!AL18))," - ")</f>
        <v>0.5714285714285714</v>
      </c>
      <c r="D18" s="473">
        <f>IF(ISNUMBER(
   IF(D_I="SI",(Datos!K18-Datos!U18)/Datos!U18,(Datos!K18+Datos!AE18-(Datos!U18+Datos!AM18))/(Datos!U18+Datos!AM18))
     ),IF(D_I="SI",(Datos!K18-Datos!U18)/Datos!U18,(Datos!K18+Datos!AE18-(Datos!U18+Datos!AM18))/(Datos!U18+Datos!AM18))," - ")</f>
        <v>0.75</v>
      </c>
      <c r="E18" s="473">
        <f>IF(ISNUMBER(
   IF(D_I="SI",(Datos!L18-Datos!V18)/Datos!V18,(Datos!L18+Datos!AF18-(Datos!V18+Datos!AN18))/(Datos!V18+Datos!AN18))
     ),IF(D_I="SI",(Datos!L18-Datos!V18)/Datos!V18,(Datos!L18+Datos!AF18-(Datos!V18+Datos!AN18))/(Datos!V18+Datos!AN18))," - ")</f>
        <v>-7.407407407407407E-2</v>
      </c>
      <c r="F18" s="473">
        <f>IF(ISNUMBER((Datos!M18-Datos!W18)/Datos!W18),(Datos!M18-Datos!W18)/Datos!W18," - ")</f>
        <v>-0.2</v>
      </c>
      <c r="G18" s="474">
        <f>IF(ISNUMBER((Datos!N18-Datos!X18)/Datos!X18),(Datos!N18-Datos!X18)/Datos!X18," - ")</f>
        <v>1</v>
      </c>
      <c r="H18" s="472">
        <f>IF(ISNUMBER(((NºAsuntos!G18/NºAsuntos!E18)-Datos!BD18)/Datos!BD18),((NºAsuntos!G18/NºAsuntos!E18)-Datos!BD18)/Datos!BD18," - ")</f>
        <v>0.11363636363636374</v>
      </c>
      <c r="I18" s="473">
        <f>IF(ISNUMBER(((NºAsuntos!I18/NºAsuntos!G18)-Datos!BE18)/Datos!BE18),((NºAsuntos!I18/NºAsuntos!G18)-Datos!BE18)/Datos!BE18," - ")</f>
        <v>-0.47089947089947093</v>
      </c>
      <c r="J18" s="478">
        <f>IF(ISNUMBER((('Resol  Asuntos'!D18/NºAsuntos!G18)-Datos!BF18)/Datos!BF18),(('Resol  Asuntos'!D18/NºAsuntos!G18)-Datos!BF18)/Datos!BF18," - ")</f>
        <v>-0.54285714285714293</v>
      </c>
      <c r="K18" s="479">
        <f>IF(ISNUMBER((((NºAsuntos!C18+NºAsuntos!E18)/NºAsuntos!G18)-Datos!BG18)/Datos!BG18),(((NºAsuntos!C18+NºAsuntos!E18)/NºAsuntos!G18)-Datos!BG18)/Datos!BG18," - ")</f>
        <v>-0.24929971988795513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0.13075506445672191</v>
      </c>
      <c r="C20" s="1002">
        <f>IF(ISNUMBER(
   IF(Criterios!B14="SI",(Datos!J20-Datos!T20)/Datos!T20,(Datos!J20+Datos!AD20-(Datos!T20+Datos!AL20))/(Datos!T20+Datos!AL20))
     ),IF(Criterios!B14="SI",(Datos!J20-Datos!T20)/Datos!T20,(Datos!J20+Datos!AD20-(Datos!T20+Datos!AL20))/(Datos!T20+Datos!AL20))," - ")</f>
        <v>0.16610169491525423</v>
      </c>
      <c r="D20" s="1002">
        <f>IF(ISNUMBER(
   IF(Criterios!B14="SI",(Datos!K20-Datos!U20)/Datos!U20,(Datos!K20+Datos!AE20-(Datos!U20+Datos!AM20))/(Datos!U20+Datos!AM20))
     ),IF(Criterios!B14="SI",(Datos!K20-Datos!U20)/Datos!U20,(Datos!K20+Datos!AE20-(Datos!U20+Datos!AM20))/(Datos!U20+Datos!AM20))," - ")</f>
        <v>0.1873015873015873</v>
      </c>
      <c r="E20" s="1002">
        <f>IF(ISNUMBER(
   IF(Criterios!B14="SI",(Datos!L20-Datos!V20)/Datos!V20,(Datos!L20+Datos!AF20-(Datos!V20+Datos!AN20))/(Datos!V20+Datos!AN20))
     ),IF(Criterios!B14="SI",(Datos!L20-Datos!V20)/Datos!V20,(Datos!L20+Datos!AF20-(Datos!V20+Datos!AN20))/(Datos!V20+Datos!AN20))," - ")</f>
        <v>0.11663479923518165</v>
      </c>
      <c r="F20" s="1003">
        <f>IF(ISNUMBER((Datos!M20-Datos!W20)/Datos!W20),(Datos!M20-Datos!W20)/Datos!W20," - ")</f>
        <v>-0.34545454545454546</v>
      </c>
      <c r="G20" s="1004">
        <f>IF(ISNUMBER((Datos!N20-Datos!X20)/Datos!X20),(Datos!N20-Datos!X20)/Datos!X20," - ")</f>
        <v>0.70161290322580649</v>
      </c>
      <c r="H20" s="1004">
        <f>IF(ISNUMBER(((NºAsuntos!G20/NºAsuntos!E20)-Datos!BD20)/Datos!BD20),((NºAsuntos!G20/NºAsuntos!E20)-Datos!BD20)/Datos!BD20," - ")</f>
        <v>1.8180140273163427E-2</v>
      </c>
      <c r="I20" s="1004">
        <f>IF(ISNUMBER(((NºAsuntos!I20/NºAsuntos!G20)-Datos!BE20)/Datos!BE20),((NºAsuntos!I20/NºAsuntos!G20)-Datos!BE20)/Datos!BE20," - ")</f>
        <v>-5.9518818825983415E-2</v>
      </c>
      <c r="J20" s="1004">
        <f>IF(ISNUMBER((('Resol  Asuntos'!D20/NºAsuntos!G20)-Datos!BF20)/Datos!BF20),(('Resol  Asuntos'!D20/NºAsuntos!G20)-Datos!BF20)/Datos!BF20," - ")</f>
        <v>-0.44871171609139521</v>
      </c>
      <c r="K20" s="1004">
        <f>IF(ISNUMBER((((NºAsuntos!C20+NºAsuntos!E20)/NºAsuntos!G20)-Datos!BG20)/Datos!BG20),(((NºAsuntos!C20+NºAsuntos!E20)/NºAsuntos!G20)-Datos!BG20)/Datos!BG20," - ")</f>
        <v>-3.7145993133638734E-2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8.2390953150242321E-2</v>
      </c>
      <c r="C21" s="949">
        <f>IF(ISNUMBER(
   IF(J_V="SI",(Datos!J21-Datos!T21)/Datos!T21,(Datos!J21+Datos!Z21-(Datos!T21+Datos!AH21))/(Datos!T21+Datos!AH21))
     ),IF(J_V="SI",(Datos!J21-Datos!T21)/Datos!T21,(Datos!J21+Datos!Z21-(Datos!T21+Datos!AH21))/(Datos!T21+Datos!AH21))," - ")</f>
        <v>0.24329159212880144</v>
      </c>
      <c r="D21" s="949">
        <f>IF(ISNUMBER(
   IF(J_V="SI",(Datos!K21-Datos!U21)/Datos!U21,(Datos!K21+Datos!AA21-(Datos!U21+Datos!AI21))/(Datos!U21+Datos!AI21))
     ),IF(J_V="SI",(Datos!K21-Datos!U21)/Datos!U21,(Datos!K21+Datos!AA21-(Datos!U21+Datos!AI21))/(Datos!U21+Datos!AI21))," - ")</f>
        <v>0.10410094637223975</v>
      </c>
      <c r="E21" s="949">
        <f>IF(ISNUMBER(
   IF(J_V="SI",(Datos!L21-Datos!V21)/Datos!V21,(Datos!L21+Datos!AB21-(Datos!V21+Datos!AJ21))/(Datos!V21+Datos!AJ21))
     ),IF(J_V="SI",(Datos!L21-Datos!V21)/Datos!V21,(Datos!L21+Datos!AB21-(Datos!V21+Datos!AJ21))/(Datos!V21+Datos!AJ21))," - ")</f>
        <v>0.14789337919174547</v>
      </c>
      <c r="F21" s="950">
        <f>IF(ISNUMBER((Datos!M21-Datos!W21)/Datos!W21),(Datos!M21-Datos!W21)/Datos!W21," - ")</f>
        <v>-0.23312883435582821</v>
      </c>
      <c r="G21" s="951">
        <f>IF(ISNUMBER((Datos!N21-Datos!X21)/Datos!X21),(Datos!N21-Datos!X21)/Datos!X21," - ")</f>
        <v>0.28846153846153844</v>
      </c>
      <c r="H21" s="952">
        <f>IF(ISNUMBER((Tasas!B21-Datos!BD21)/Datos!BD21),(Tasas!B21-Datos!BD21)/Datos!BD21," - ")</f>
        <v>-0.11195333953657276</v>
      </c>
      <c r="I21" s="953">
        <f>IF(ISNUMBER((Tasas!C21-Datos!BE21)/Datos!BE21),(Tasas!C21-Datos!BE21)/Datos!BE21," - ")</f>
        <v>3.9663432010809588E-2</v>
      </c>
      <c r="J21" s="954">
        <f>IF(ISNUMBER((Tasas!D21-Datos!BF21)/Datos!BF21),(Tasas!D21-Datos!BF21)/Datos!BF21," - ")</f>
        <v>-0.40725504861630518</v>
      </c>
      <c r="K21" s="954">
        <f>IF(ISNUMBER((Tasas!E21-Datos!BG21)/Datos!BG21),(Tasas!E21-Datos!BG21)/Datos!BG21," - ")</f>
        <v>2.5669767072104208E-2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2xuqgZpSF1mkSS8SO+oVQVCNgbecfWLqGzcVVK5jM2EG+JvaSifWHInYIIRM7PGZvZX2bpiD9YaMUnWm3d683Q==" saltValue="US2EMYGdcICoxayHk3M1U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CADIZ</v>
      </c>
    </row>
    <row r="4" spans="1:7" ht="11.25" customHeight="1" thickBot="1">
      <c r="B4" s="403" t="str">
        <f>Criterios!A11 &amp;"  "&amp;Criterios!B11</f>
        <v>Resumenes por Partidos Judiciales  ROTA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v>
      </c>
      <c r="C10" s="460">
        <f>IF(ISNUMBER(NºAsuntos!I10/NºAsuntos!G10),NºAsuntos!I10/NºAsuntos!G10," - ")</f>
        <v>2.5</v>
      </c>
      <c r="D10" s="461">
        <f>IF(ISNUMBER('Resol  Asuntos'!D10/NºAsuntos!G10),'Resol  Asuntos'!D10/NºAsuntos!G10," - ")</f>
        <v>0.5</v>
      </c>
      <c r="E10" s="462">
        <f>IF(ISNUMBER((NºAsuntos!C10+NºAsuntos!E10)/NºAsuntos!G10),(NºAsuntos!C10+NºAsuntos!E10)/NºAsuntos!G10," - ")</f>
        <v>3.5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0.92571428571428571</v>
      </c>
      <c r="C12" s="460">
        <f>IF(ISNUMBER(NºAsuntos!I12/NºAsuntos!G12),NºAsuntos!I12/NºAsuntos!G12," - ")</f>
        <v>2.3024691358024691</v>
      </c>
      <c r="D12" s="461">
        <f>IF(ISNUMBER('Resol  Asuntos'!D12/NºAsuntos!G12),'Resol  Asuntos'!D12/NºAsuntos!G12," - ")</f>
        <v>0.27160493827160492</v>
      </c>
      <c r="E12" s="462">
        <f>IF(ISNUMBER((NºAsuntos!C12+NºAsuntos!E12)/NºAsuntos!G12),(NºAsuntos!C12+NºAsuntos!E12)/NºAsuntos!G12," - ")</f>
        <v>3.3024691358024691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0.92877492877492873</v>
      </c>
      <c r="C14" s="1006">
        <f>IF(ISNUMBER(NºAsuntos!I14/NºAsuntos!G14),NºAsuntos!I14/NºAsuntos!G14," - ")</f>
        <v>2.3036809815950918</v>
      </c>
      <c r="D14" s="1007">
        <f>IF(ISNUMBER('Resol  Asuntos'!D14/NºAsuntos!G14),'Resol  Asuntos'!D14/NºAsuntos!G14," - ")</f>
        <v>0.27300613496932513</v>
      </c>
      <c r="E14" s="1008">
        <f>IF(ISNUMBER((NºAsuntos!C14+NºAsuntos!E14)/NºAsuntos!G14),(NºAsuntos!C14+NºAsuntos!E14)/NºAsuntos!G14," - ")</f>
        <v>3.3036809815950918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1.1066666666666667</v>
      </c>
      <c r="C17" s="460">
        <f>IF(ISNUMBER(NºAsuntos!I17/NºAsuntos!G17),NºAsuntos!I17/NºAsuntos!G17," - ")</f>
        <v>1.6837349397590362</v>
      </c>
      <c r="D17" s="461">
        <f>IF(ISNUMBER('Resol  Asuntos'!D17/NºAsuntos!G17),'Resol  Asuntos'!D17/NºAsuntos!G17," - ")</f>
        <v>9.6385542168674704E-2</v>
      </c>
      <c r="E17" s="462">
        <f>IF(ISNUMBER((NºAsuntos!C17+NºAsuntos!E17)/NºAsuntos!G17),(NºAsuntos!C17+NºAsuntos!E17)/NºAsuntos!G17," - ")</f>
        <v>2.6837349397590362</v>
      </c>
      <c r="G17" s="480"/>
    </row>
    <row r="18" spans="1:7">
      <c r="A18" s="414" t="str">
        <f>Datos!A18</f>
        <v>Jdos. Violencia contra la mujer</v>
      </c>
      <c r="B18" s="459">
        <f>IF(ISNUMBER(NºAsuntos!G18/NºAsuntos!E18),NºAsuntos!G18/NºAsuntos!E18," - ")</f>
        <v>0.95454545454545459</v>
      </c>
      <c r="C18" s="460">
        <f>IF(ISNUMBER(NºAsuntos!I18/NºAsuntos!G18),NºAsuntos!I18/NºAsuntos!G18," - ")</f>
        <v>0.59523809523809523</v>
      </c>
      <c r="D18" s="461">
        <f>IF(ISNUMBER('Resol  Asuntos'!D18/NºAsuntos!G18),'Resol  Asuntos'!D18/NºAsuntos!G18," - ")</f>
        <v>9.5238095238095233E-2</v>
      </c>
      <c r="E18" s="462">
        <f>IF(ISNUMBER((NºAsuntos!C18+NºAsuntos!E18)/NºAsuntos!G18),(NºAsuntos!C18+NºAsuntos!E18)/NºAsuntos!G18," - ")</f>
        <v>1.5952380952380953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1.0872093023255813</v>
      </c>
      <c r="C20" s="1006">
        <f>IF(ISNUMBER(NºAsuntos!I20/NºAsuntos!G20),NºAsuntos!I20/NºAsuntos!G20," - ")</f>
        <v>1.5614973262032086</v>
      </c>
      <c r="D20" s="1009">
        <f>IF(ISNUMBER('Resol  Asuntos'!D20/NºAsuntos!G20),'Resol  Asuntos'!D20/NºAsuntos!G20," - ")</f>
        <v>9.6256684491978606E-2</v>
      </c>
      <c r="E20" s="1008">
        <f>IF(ISNUMBER((NºAsuntos!C20+NºAsuntos!E20)/NºAsuntos!G20),(NºAsuntos!C20+NºAsuntos!E20)/NºAsuntos!G20," - ")</f>
        <v>2.5614973262032086</v>
      </c>
      <c r="G20" s="480"/>
    </row>
    <row r="21" spans="1:7" ht="15.75" customHeight="1" thickTop="1" thickBot="1">
      <c r="A21" s="940" t="str">
        <f>Datos!A21</f>
        <v>TOTAL JURISDICCIONES</v>
      </c>
      <c r="B21" s="955">
        <f>IF(ISNUMBER(NºAsuntos!G21/NºAsuntos!E21),NºAsuntos!G21/NºAsuntos!E21," - ")</f>
        <v>1.0071942446043165</v>
      </c>
      <c r="C21" s="956">
        <f>IF(ISNUMBER(NºAsuntos!I21/NºAsuntos!G21),NºAsuntos!I21/NºAsuntos!G21," - ")</f>
        <v>1.9071428571428573</v>
      </c>
      <c r="D21" s="957">
        <f>IF(ISNUMBER('Resol  Asuntos'!D21/NºAsuntos!G21),'Resol  Asuntos'!D21/NºAsuntos!G21," - ")</f>
        <v>0.17857142857142858</v>
      </c>
      <c r="E21" s="958">
        <f>IF(ISNUMBER((NºAsuntos!C21+NºAsuntos!E21)/NºAsuntos!G21),(NºAsuntos!C21+NºAsuntos!E21)/NºAsuntos!G21," - ")</f>
        <v>2.907142857142857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Pdo5hZcSK2oOKcFCcymLvNYG7w0rb3OyJg3sWY4q0287kLD4/zfa0Pfwspj90UuLLR3aIkSgKQmhlnPYXNPLBg==" saltValue="yaP8UyEzbIwrRiB9dCUEi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CADIZ</v>
      </c>
      <c r="N2" s="339" t="str">
        <f>Criterios!A11 &amp;"  "&amp;Criterios!B11</f>
        <v>Resumenes por Partidos Judiciales  ROTA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v>
      </c>
      <c r="G10" s="343">
        <f>IF(ISNUMBER(Datos!I10),Datos!I10," - ")</f>
        <v>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5</v>
      </c>
      <c r="AB10" s="344">
        <f>IF(ISNUMBER(Datos!R10),Datos!R10," - ")</f>
        <v>0</v>
      </c>
      <c r="AC10" s="344">
        <f t="shared" ref="AC10:AC13" si="1">IF(ISNUMBER(AA10+AB10),AA10+AB10," - ")</f>
        <v>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2</v>
      </c>
      <c r="AM10" s="265">
        <f>IF(ISNUMBER(((NºAsuntos!I10/NºAsuntos!G10)*11)/factor_trimestre),((NºAsuntos!I10/NºAsuntos!G10)*11)/factor_trimestre," - ")</f>
        <v>7.5</v>
      </c>
      <c r="AN10" s="249">
        <f>IF(ISNUMBER('Resol  Asuntos'!D10/NºAsuntos!G10),'Resol  Asuntos'!D10/NºAsuntos!G10," - ")</f>
        <v>0.5</v>
      </c>
      <c r="AO10" s="250">
        <f>IF(ISNUMBER((NºAsuntos!C10+NºAsuntos!E10)/NºAsuntos!G10),(NºAsuntos!C10+NºAsuntos!E10)/NºAsuntos!G10," - ")</f>
        <v>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90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54</v>
      </c>
      <c r="Y12" s="344">
        <f t="shared" si="0"/>
        <v>54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1234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88</v>
      </c>
      <c r="AJ12" s="234" t="str">
        <f>IF(ISNUMBER(Datos!BW12),Datos!BW12," - ")</f>
        <v xml:space="preserve"> - </v>
      </c>
      <c r="AK12" s="233" t="str">
        <f>IF(ISNUMBER(Datos!BX12),Datos!BX12," - ")</f>
        <v xml:space="preserve"> - </v>
      </c>
      <c r="AL12" s="248">
        <f>IF(ISNUMBER(NºAsuntos!G12/NºAsuntos!E12),NºAsuntos!G12/NºAsuntos!E12," - ")</f>
        <v>0.92571428571428571</v>
      </c>
      <c r="AM12" s="265">
        <f>IF(ISNUMBER(((NºAsuntos!I12/NºAsuntos!G12)*11)/factor_trimestre),((NºAsuntos!I12/NºAsuntos!G12)*11)/factor_trimestre," - ")</f>
        <v>6.9074074074074083</v>
      </c>
      <c r="AN12" s="249">
        <f>IF(ISNUMBER('Resol  Asuntos'!D12/NºAsuntos!G12),'Resol  Asuntos'!D12/NºAsuntos!G12," - ")</f>
        <v>0.27160493827160492</v>
      </c>
      <c r="AO12" s="250">
        <f>IF(ISNUMBER((NºAsuntos!C12+NºAsuntos!E12)/NºAsuntos!G12),(NºAsuntos!C12+NºAsuntos!E12)/NºAsuntos!G12," - ")</f>
        <v>3.3024691358024691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6</v>
      </c>
      <c r="G14" s="1013">
        <f t="shared" si="5"/>
        <v>6</v>
      </c>
      <c r="H14" s="1012">
        <f t="shared" si="5"/>
        <v>0</v>
      </c>
      <c r="I14" s="1014">
        <f t="shared" si="5"/>
        <v>0</v>
      </c>
      <c r="J14" s="1014">
        <f t="shared" si="5"/>
        <v>0</v>
      </c>
      <c r="K14" s="1014">
        <f t="shared" si="5"/>
        <v>0</v>
      </c>
      <c r="L14" s="1014">
        <f t="shared" si="5"/>
        <v>90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54</v>
      </c>
      <c r="Y14" s="1015">
        <f t="shared" si="6"/>
        <v>56</v>
      </c>
      <c r="Z14" s="1015">
        <f t="shared" si="6"/>
        <v>0</v>
      </c>
      <c r="AA14" s="1015">
        <f t="shared" si="6"/>
        <v>5</v>
      </c>
      <c r="AB14" s="1015">
        <f t="shared" si="6"/>
        <v>1234</v>
      </c>
      <c r="AC14" s="1015">
        <f t="shared" si="6"/>
        <v>5</v>
      </c>
      <c r="AD14" s="1015">
        <f t="shared" si="6"/>
        <v>0</v>
      </c>
      <c r="AE14" s="1019">
        <f t="shared" si="6"/>
        <v>0</v>
      </c>
      <c r="AF14" s="1012">
        <f t="shared" si="6"/>
        <v>0</v>
      </c>
      <c r="AG14" s="1020">
        <f t="shared" si="6"/>
        <v>0</v>
      </c>
      <c r="AH14" s="1017">
        <f t="shared" si="6"/>
        <v>0</v>
      </c>
      <c r="AI14" s="1012">
        <f t="shared" si="6"/>
        <v>89</v>
      </c>
      <c r="AJ14" s="1014">
        <f t="shared" si="6"/>
        <v>0</v>
      </c>
      <c r="AK14" s="1017">
        <f>SUBTOTAL(9,AK9:AK13)</f>
        <v>0</v>
      </c>
      <c r="AL14" s="1021">
        <f>IF(ISNUMBER(NºAsuntos!G14/NºAsuntos!E14),NºAsuntos!G14/NºAsuntos!E14," - ")</f>
        <v>0.92877492877492873</v>
      </c>
      <c r="AM14" s="1021">
        <f>IF(ISNUMBER(((NºAsuntos!I14/NºAsuntos!G14)*11)/factor_trimestre),((NºAsuntos!I14/NºAsuntos!G14)*11)/factor_trimestre," - ")</f>
        <v>6.9110429447852759</v>
      </c>
      <c r="AN14" s="1022">
        <f>IF(ISNUMBER('Resol  Asuntos'!D14/NºAsuntos!G14),'Resol  Asuntos'!D14/NºAsuntos!G14," - ")</f>
        <v>0.27300613496932513</v>
      </c>
      <c r="AO14" s="1023">
        <f>IF(ISNUMBER((NºAsuntos!C14+NºAsuntos!E14)/NºAsuntos!G14),(NºAsuntos!C14+NºAsuntos!E14)/NºAsuntos!G14," - ")</f>
        <v>3.3036809815950918</v>
      </c>
      <c r="AP14" s="1024" t="str">
        <f t="shared" si="2"/>
        <v xml:space="preserve"> - </v>
      </c>
      <c r="AQ14" s="1024">
        <f>IF(ISNUMBER((H14-W14+K14)/(F14)),(H14-W14+K14)/(F14)," - ")</f>
        <v>-0.33333333333333331</v>
      </c>
      <c r="AR14" s="1025">
        <f>IF(ISNUMBER((Datos!P14-Datos!Q14)/(Datos!R14-Datos!P14+Datos!Q14)),(Datos!P14-Datos!Q14)/(Datos!R14-Datos!P14+Datos!Q14)," - ")</f>
        <v>3.0050083472454091E-2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591</v>
      </c>
      <c r="G17" s="343">
        <f>IF(ISNUMBER(IF(D_I="SI",Datos!I17,Datos!I17+Datos!AC17)),IF(D_I="SI",Datos!I17,Datos!I17+Datos!AC17)," - ")</f>
        <v>591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332</v>
      </c>
      <c r="X17" s="231">
        <f>IF(ISNUMBER(Datos!Q17),Datos!Q17," - ")</f>
        <v>11</v>
      </c>
      <c r="Y17" s="344">
        <f t="shared" ref="Y17:Y19" si="9">SUM(W17:X17)</f>
        <v>343</v>
      </c>
      <c r="Z17" s="345" t="str">
        <f>IF(ISNUMBER(Datos!CC17),Datos!CC17," - ")</f>
        <v xml:space="preserve"> - </v>
      </c>
      <c r="AA17" s="342">
        <f>IF(ISNUMBER(IF(D_I="SI",Datos!L17,Datos!L17+Datos!AF17)),IF(D_I="SI",Datos!L17,Datos!L17+Datos!AF17)," - ")</f>
        <v>559</v>
      </c>
      <c r="AB17" s="344">
        <f>IF(ISNUMBER(Datos!R17),Datos!R17," - ")</f>
        <v>73</v>
      </c>
      <c r="AC17" s="344">
        <f t="shared" si="8"/>
        <v>632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32</v>
      </c>
      <c r="AJ17" s="236" t="str">
        <f>IF(ISNUMBER(Datos!BW17),Datos!BW17," - ")</f>
        <v xml:space="preserve"> - </v>
      </c>
      <c r="AK17" s="237" t="str">
        <f>IF(ISNUMBER(Datos!BX17),Datos!BX17," - ")</f>
        <v xml:space="preserve"> - </v>
      </c>
      <c r="AL17" s="248">
        <f>IF(ISNUMBER(NºAsuntos!G17/NºAsuntos!E17),NºAsuntos!G17/NºAsuntos!E17," - ")</f>
        <v>1.1066666666666667</v>
      </c>
      <c r="AM17" s="265">
        <f>IF(ISNUMBER(((NºAsuntos!I17/NºAsuntos!G17)*11)/factor_trimestre),((NºAsuntos!I17/NºAsuntos!G17)*11)/factor_trimestre," - ")</f>
        <v>5.0512048192771095</v>
      </c>
      <c r="AN17" s="249">
        <f>IF(ISNUMBER('Resol  Asuntos'!D17/NºAsuntos!G17),'Resol  Asuntos'!D17/NºAsuntos!G17," - ")</f>
        <v>9.6385542168674704E-2</v>
      </c>
      <c r="AO17" s="250">
        <f>IF(ISNUMBER((NºAsuntos!C17+NºAsuntos!E17)/NºAsuntos!G17),(NºAsuntos!C17+NºAsuntos!E17)/NºAsuntos!G17," - ")</f>
        <v>2.6837349397590362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42</v>
      </c>
      <c r="X18" s="231">
        <f>IF(ISNUMBER(Datos!Q18),Datos!Q18," - ")</f>
        <v>0</v>
      </c>
      <c r="Y18" s="344">
        <f t="shared" si="9"/>
        <v>42</v>
      </c>
      <c r="Z18" s="345" t="str">
        <f>IF(ISNUMBER(Datos!CC18),Datos!CC18," - ")</f>
        <v xml:space="preserve"> - </v>
      </c>
      <c r="AA18" s="342">
        <f>IF(ISNUMBER(Datos!L18),Datos!L18,"-")</f>
        <v>25</v>
      </c>
      <c r="AB18" s="344">
        <f>IF(ISNUMBER(Datos!R18),Datos!R18," - ")</f>
        <v>0</v>
      </c>
      <c r="AC18" s="344">
        <f t="shared" si="8"/>
        <v>25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0.95454545454545459</v>
      </c>
      <c r="AM18" s="265">
        <f>IF(ISNUMBER(((NºAsuntos!I18/NºAsuntos!G18)*11)/factor_trimestre),((NºAsuntos!I18/NºAsuntos!G18)*11)/factor_trimestre," - ")</f>
        <v>1.7857142857142858</v>
      </c>
      <c r="AN18" s="249">
        <f>IF(ISNUMBER('Resol  Asuntos'!D18/NºAsuntos!G18),'Resol  Asuntos'!D18/NºAsuntos!G18," - ")</f>
        <v>9.5238095238095233E-2</v>
      </c>
      <c r="AO18" s="250">
        <f>IF(ISNUMBER((NºAsuntos!C18+NºAsuntos!E18)/NºAsuntos!G18),(NºAsuntos!C18+NºAsuntos!E18)/NºAsuntos!G18," - ")</f>
        <v>1.5952380952380953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591</v>
      </c>
      <c r="G20" s="1013">
        <f>SUBTOTAL(9,G16:G19)</f>
        <v>614</v>
      </c>
      <c r="H20" s="1012">
        <f t="shared" ref="H20:O20" si="12">SUBTOTAL(9,H15:H19)</f>
        <v>0</v>
      </c>
      <c r="I20" s="1014">
        <f t="shared" si="12"/>
        <v>0</v>
      </c>
      <c r="J20" s="1014">
        <f t="shared" si="12"/>
        <v>0</v>
      </c>
      <c r="K20" s="1014">
        <f t="shared" si="12"/>
        <v>0</v>
      </c>
      <c r="L20" s="1014">
        <f t="shared" si="12"/>
        <v>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374</v>
      </c>
      <c r="X20" s="1014">
        <f t="shared" si="13"/>
        <v>11</v>
      </c>
      <c r="Y20" s="1015">
        <f t="shared" si="13"/>
        <v>385</v>
      </c>
      <c r="Z20" s="1015">
        <f t="shared" si="13"/>
        <v>0</v>
      </c>
      <c r="AA20" s="1015">
        <f t="shared" si="13"/>
        <v>584</v>
      </c>
      <c r="AB20" s="1015">
        <f t="shared" si="13"/>
        <v>73</v>
      </c>
      <c r="AC20" s="1015">
        <f t="shared" si="13"/>
        <v>657</v>
      </c>
      <c r="AD20" s="1015">
        <f t="shared" si="13"/>
        <v>0</v>
      </c>
      <c r="AE20" s="1019">
        <f t="shared" si="13"/>
        <v>0</v>
      </c>
      <c r="AF20" s="1012">
        <f t="shared" si="13"/>
        <v>0</v>
      </c>
      <c r="AG20" s="1020">
        <f t="shared" si="13"/>
        <v>0</v>
      </c>
      <c r="AH20" s="1017">
        <f t="shared" si="13"/>
        <v>0</v>
      </c>
      <c r="AI20" s="1012">
        <f t="shared" si="13"/>
        <v>36</v>
      </c>
      <c r="AJ20" s="1014">
        <f t="shared" si="13"/>
        <v>0</v>
      </c>
      <c r="AK20" s="1017">
        <f t="shared" si="13"/>
        <v>0</v>
      </c>
      <c r="AL20" s="1021">
        <f>IF(ISNUMBER(NºAsuntos!G20/NºAsuntos!E20),NºAsuntos!G20/NºAsuntos!E20," - ")</f>
        <v>1.0872093023255813</v>
      </c>
      <c r="AM20" s="1021">
        <f>IF(ISNUMBER(((NºAsuntos!I20/NºAsuntos!G20)*11)/factor_trimestre),((NºAsuntos!I20/NºAsuntos!G20)*11)/factor_trimestre," - ")</f>
        <v>4.6844919786096257</v>
      </c>
      <c r="AN20" s="1022">
        <f>IF(ISNUMBER('Resol  Asuntos'!D20/NºAsuntos!G20),'Resol  Asuntos'!D20/NºAsuntos!G20," - ")</f>
        <v>9.6256684491978606E-2</v>
      </c>
      <c r="AO20" s="1023">
        <f>IF(ISNUMBER((NºAsuntos!C20+NºAsuntos!E20)/NºAsuntos!G20),(NºAsuntos!C20+NºAsuntos!E20)/NºAsuntos!G20," - ")</f>
        <v>2.5614973262032086</v>
      </c>
      <c r="AP20" s="1024" t="str">
        <f t="shared" si="2"/>
        <v xml:space="preserve"> - </v>
      </c>
      <c r="AQ20" s="1024">
        <f>IF(ISNUMBER((H20-W20+K20)/(F20)),(H20-W20+K20)/(F20)," - ")</f>
        <v>-0.63282571912013541</v>
      </c>
      <c r="AR20" s="1025">
        <f>IF(ISNUMBER((Datos!P20-Datos!Q20)/(Datos!R20-Datos!P20+Datos!Q20)),(Datos!P20-Datos!Q20)/(Datos!R20-Datos!P20+Datos!Q20)," - ")</f>
        <v>-2.6666666666666668E-2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597</v>
      </c>
      <c r="G21" s="968">
        <f t="shared" si="15"/>
        <v>620</v>
      </c>
      <c r="H21" s="967">
        <f t="shared" si="15"/>
        <v>0</v>
      </c>
      <c r="I21" s="969">
        <f t="shared" si="15"/>
        <v>0</v>
      </c>
      <c r="J21" s="969">
        <f t="shared" si="15"/>
        <v>0</v>
      </c>
      <c r="K21" s="1028">
        <f t="shared" si="15"/>
        <v>0</v>
      </c>
      <c r="L21" s="969">
        <f t="shared" si="15"/>
        <v>99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376</v>
      </c>
      <c r="X21" s="968">
        <f t="shared" si="16"/>
        <v>65</v>
      </c>
      <c r="Y21" s="975">
        <f t="shared" si="16"/>
        <v>441</v>
      </c>
      <c r="Z21" s="975">
        <f t="shared" si="16"/>
        <v>0</v>
      </c>
      <c r="AA21" s="975">
        <f t="shared" si="16"/>
        <v>589</v>
      </c>
      <c r="AB21" s="975">
        <f t="shared" si="16"/>
        <v>1307</v>
      </c>
      <c r="AC21" s="975">
        <f t="shared" si="16"/>
        <v>662</v>
      </c>
      <c r="AD21" s="975">
        <f t="shared" si="16"/>
        <v>0</v>
      </c>
      <c r="AE21" s="977">
        <f t="shared" si="16"/>
        <v>0</v>
      </c>
      <c r="AF21" s="978">
        <f t="shared" si="16"/>
        <v>0</v>
      </c>
      <c r="AG21" s="979">
        <f t="shared" si="16"/>
        <v>0</v>
      </c>
      <c r="AH21" s="977">
        <f t="shared" si="16"/>
        <v>0</v>
      </c>
      <c r="AI21" s="967">
        <f t="shared" si="16"/>
        <v>125</v>
      </c>
      <c r="AJ21" s="967">
        <f t="shared" si="16"/>
        <v>0</v>
      </c>
      <c r="AK21" s="977">
        <f t="shared" si="16"/>
        <v>0</v>
      </c>
      <c r="AL21" s="1031">
        <f>IF(ISNUMBER(NºAsuntos!G21/NºAsuntos!E21),NºAsuntos!G21/NºAsuntos!E21," - ")</f>
        <v>1.0071942446043165</v>
      </c>
      <c r="AM21" s="1032">
        <f>IF(ISNUMBER(((NºAsuntos!I21/NºAsuntos!G21)*11)/factor_trimestre),((NºAsuntos!I21/NºAsuntos!G21)*11)/factor_trimestre," - ")</f>
        <v>5.7214285714285724</v>
      </c>
      <c r="AN21" s="1032">
        <f>IF(ISNUMBER('Resol  Asuntos'!D21/NºAsuntos!G21),'Resol  Asuntos'!D21/NºAsuntos!G21," - ")</f>
        <v>0.17857142857142858</v>
      </c>
      <c r="AO21" s="1033">
        <f>IF(ISNUMBER((NºAsuntos!C21+NºAsuntos!E21)/NºAsuntos!G21),(NºAsuntos!C21+NºAsuntos!E21)/NºAsuntos!G21," - ")</f>
        <v>2.907142857142857</v>
      </c>
      <c r="AP21" s="1034" t="str">
        <f t="shared" si="2"/>
        <v xml:space="preserve"> - </v>
      </c>
      <c r="AQ21" s="1035">
        <f>IF(OR(ISNUMBER(FIND("01",Criterios!A8,1)),ISNUMBER(FIND("02",Criterios!A8,1)),ISNUMBER(FIND("03",Criterios!A8,1)),ISNUMBER(FIND("04",Criterios!A8,1))),(I21-W21+K21)/(F21-K21),(H21-W21+K21)/(F21-K21))</f>
        <v>-0.62981574539363483</v>
      </c>
      <c r="AR21" s="1036">
        <f>IF(ISNUMBER((Datos!P21-Datos!Q21)/(Datos!R21-Datos!P21+Datos!Q21)),(Datos!P21-Datos!Q21)/(Datos!R21-Datos!P21+Datos!Q21)," - ")</f>
        <v>2.6708562450903379E-2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248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337.74990747593108</v>
      </c>
      <c r="G23" s="258">
        <f>IF(ISNUMBER(STDEV(G8:G20)),STDEV(G8:G20),"-")</f>
        <v>323.789283330996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186.26003328680042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38.949540005841747</v>
      </c>
      <c r="AJ23" s="257">
        <f t="shared" si="20"/>
        <v>0</v>
      </c>
      <c r="AK23" s="259">
        <f t="shared" si="20"/>
        <v>0</v>
      </c>
      <c r="AL23" s="254">
        <f t="shared" si="20"/>
        <v>0.41569278143818367</v>
      </c>
      <c r="AM23" s="255">
        <f t="shared" si="20"/>
        <v>2.1274375458299586</v>
      </c>
      <c r="AN23" s="255">
        <f t="shared" si="20"/>
        <v>0.1612483732449099</v>
      </c>
      <c r="AO23" s="256">
        <f t="shared" si="20"/>
        <v>0.70914584860998608</v>
      </c>
      <c r="AP23" s="296" t="str">
        <f t="shared" si="20"/>
        <v>-</v>
      </c>
      <c r="AQ23" s="297">
        <f t="shared" si="20"/>
        <v>0.21177309690358551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WuyUTx5jZsLPAfzulOCMQcJXxBnHbrY9wS530frYn59HiAIdgXx2btluZxUXtZ5fWHK0yBO8SIohQ3SuSZ9WPQ==" saltValue="abQjVN0POsfwt2YoSMVP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CADIZ</v>
      </c>
      <c r="E3" s="268"/>
    </row>
    <row r="4" spans="2:20" ht="17.25" customHeight="1" thickBot="1">
      <c r="D4" s="267" t="str">
        <f>Criterios!A11 &amp;"  "&amp;Criterios!B11</f>
        <v>Resumenes por Partidos Judiciales  ROTA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v>
      </c>
      <c r="E10" s="358">
        <f>IF(ISNUMBER((Datos!J10-Datos!T10)/Datos!T10),(Datos!J10-Datos!T10)/Datos!T10," - ")</f>
        <v>0</v>
      </c>
      <c r="F10" s="358" t="str">
        <f>IF(ISNUMBER((Datos!K10-Datos!U10)/Datos!U10),(Datos!K10-Datos!U10)/Datos!U10," - ")</f>
        <v xml:space="preserve"> - </v>
      </c>
      <c r="G10" s="359">
        <f>IF(ISNUMBER((Datos!L10-Datos!V10)/Datos!V10),(Datos!L10-Datos!V10)/Datos!V10," - ")</f>
        <v>-0.54545454545454541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-0.18518518518518517</v>
      </c>
      <c r="I12" s="360">
        <f>IF(ISNUMBER((Tasas!C12-Datos!BE12)/Datos!BE12),(Tasas!C12-Datos!BE12)/Datos!BE12," - ")</f>
        <v>0.16770692260888342</v>
      </c>
      <c r="J12" s="359">
        <f>IF(ISNUMBER((Tasas!D12-Datos!BF12)/Datos!BF12),(Tasas!D12-Datos!BF12)/Datos!BF12," - ")</f>
        <v>-0.36292665214233844</v>
      </c>
      <c r="K12" s="361">
        <f>IF(ISNUMBER((Tasas!E12-Datos!BG12)/Datos!BG12),(Tasas!E12-Datos!BG12)/Datos!BG12," - ")</f>
        <v>0.11127389696306716</v>
      </c>
      <c r="M12" t="e">
        <f>IF(Monitorios="SI",Datos!CE12,0)</f>
        <v>#REF!</v>
      </c>
      <c r="N12" t="e">
        <f>IF(Monitorios="SI",Datos!CF12,0)</f>
        <v>#REF!</v>
      </c>
      <c r="O12" t="e">
        <f>IF(Monitorios="SI",Datos!CG12,0)</f>
        <v>#REF!</v>
      </c>
      <c r="P12" t="e">
        <f>IF(Monitorios="SI",Datos!CH12,0)</f>
        <v>#REF!</v>
      </c>
      <c r="Q12">
        <f>IF(J_V="SI",0,Datos!AG12)</f>
        <v>22</v>
      </c>
      <c r="R12">
        <f>IF(J_V="SI",0,Datos!AH12)</f>
        <v>14</v>
      </c>
      <c r="S12">
        <f>IF(J_V="SI",0,Datos!AI12)</f>
        <v>19</v>
      </c>
      <c r="T12">
        <f>IF(J_V="SI",0,Datos!AJ12)</f>
        <v>17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-0.17592592592592593</v>
      </c>
      <c r="I14" s="367">
        <f>IF(ISNUMBER((Tasas!C14-Datos!BE14)/Datos!BE14),(Tasas!C14-Datos!BE14)/Datos!BE14," - ")</f>
        <v>0.14824098926380369</v>
      </c>
      <c r="J14" s="365">
        <f>IF(ISNUMBER((Tasas!D14-Datos!BF14)/Datos!BF14),(Tasas!D14-Datos!BF14)/Datos!BF14," - ")</f>
        <v>-0.35964002165283299</v>
      </c>
      <c r="K14" s="368">
        <f>IF(ISNUMBER((Tasas!E14-Datos!BG14)/Datos!BG14),(Tasas!E14-Datos!BG14)/Datos!BG14," - ")</f>
        <v>9.8930378653633327E-2</v>
      </c>
      <c r="M14" t="e">
        <f>IF(Monitorios="SI",Datos!CE14,0)</f>
        <v>#REF!</v>
      </c>
      <c r="N14" t="e">
        <f>IF(Monitorios="SI",Datos!CF14,0)</f>
        <v>#REF!</v>
      </c>
      <c r="O14" t="e">
        <f>IF(Monitorios="SI",Datos!CG14,0)</f>
        <v>#REF!</v>
      </c>
      <c r="P14" t="e">
        <f>IF(Monitorios="SI",Datos!CH14,0)</f>
        <v>#REF!</v>
      </c>
      <c r="Q14">
        <f>IF(J_V="SI",0,Datos!AG14)</f>
        <v>22</v>
      </c>
      <c r="R14">
        <f>IF(J_V="SI",0,Datos!AH14)</f>
        <v>14</v>
      </c>
      <c r="S14">
        <f>IF(J_V="SI",0,Datos!AI14)</f>
        <v>19</v>
      </c>
      <c r="T14">
        <f>IF(J_V="SI",0,Datos!AJ14)</f>
        <v>17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0.13653846153846153</v>
      </c>
      <c r="E17" s="358">
        <f>IF(ISNUMBER(
   IF(D_I="SI",(Datos!J17-Datos!T17)/Datos!T17,(Datos!J17+Datos!AD17-(Datos!T17+Datos!AL17))/(Datos!T17+Datos!AL17))
     ),IF(D_I="SI",(Datos!J17-Datos!T17)/Datos!T17,(Datos!J17+Datos!AD17-(Datos!T17+Datos!AL17))/(Datos!T17+Datos!AL17))," - ")</f>
        <v>0.12359550561797752</v>
      </c>
      <c r="F17" s="358">
        <f>IF(ISNUMBER(
   IF(D_I="SI",(Datos!K17-Datos!U17)/Datos!U17,(Datos!K17+Datos!AE17-(Datos!U17+Datos!AM17))/(Datos!U17+Datos!AM17))
     ),IF(D_I="SI",(Datos!K17-Datos!U17)/Datos!U17,(Datos!K17+Datos!AE17-(Datos!U17+Datos!AM17))/(Datos!U17+Datos!AM17))," - ")</f>
        <v>0.14089347079037801</v>
      </c>
      <c r="G17" s="359">
        <f>IF(ISNUMBER(
   IF(D_I="SI",(Datos!L17-Datos!V17)/Datos!V17,(Datos!L17+Datos!AF17-(Datos!V17+Datos!AN17))/(Datos!V17+Datos!AN17))
     ),IF(D_I="SI",(Datos!L17-Datos!V17)/Datos!V17,(Datos!L17+Datos!AF17-(Datos!V17+Datos!AN17))/(Datos!V17+Datos!AN17))," - ")</f>
        <v>0.12701612903225806</v>
      </c>
      <c r="H17" s="235">
        <f>IF(ISNUMBER((Datos!M17-Datos!W17)/Datos!W17),(Datos!M17-Datos!W17)/Datos!W17," - ")</f>
        <v>-0.36</v>
      </c>
      <c r="I17" s="360">
        <f>IF(ISNUMBER((Tasas!C17-Datos!BE17)/Datos!BE17),(Tasas!C17-Datos!BE17)/Datos!BE17," - ")</f>
        <v>-1.2163573649436384E-2</v>
      </c>
      <c r="J17" s="359">
        <f>IF(ISNUMBER((Tasas!D17-Datos!BF17)/Datos!BF17),(Tasas!D17-Datos!BF17)/Datos!BF17," - ")</f>
        <v>-0.43903614457831325</v>
      </c>
      <c r="K17" s="361">
        <f>IF(ISNUMBER((Tasas!E17-Datos!BG17)/Datos!BG17),(Tasas!E17-Datos!BG17)/Datos!BG17," - ")</f>
        <v>-7.6659879671162768E-3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v>
      </c>
      <c r="E18" s="358">
        <f>IF(ISNUMBER(
   IF(D_I="SI",(Datos!J18-Datos!T18)/Datos!T18,(Datos!J18+Datos!AD18-(Datos!T18+Datos!AL18))/(Datos!T18+Datos!AL18))
     ),IF(D_I="SI",(Datos!J18-Datos!T18)/Datos!T18,(Datos!J18+Datos!AD18-(Datos!T18+Datos!AL18))/(Datos!T18+Datos!AL18))," - ")</f>
        <v>0.5714285714285714</v>
      </c>
      <c r="F18" s="358">
        <f>IF(ISNUMBER(
   IF(D_I="SI",(Datos!K18-Datos!U18)/Datos!U18,(Datos!K18+Datos!AE18-(Datos!U18+Datos!AM18))/(Datos!U18+Datos!AM18))
     ),IF(D_I="SI",(Datos!K18-Datos!U18)/Datos!U18,(Datos!K18+Datos!AE18-(Datos!U18+Datos!AM18))/(Datos!U18+Datos!AM18))," - ")</f>
        <v>0.75</v>
      </c>
      <c r="G18" s="359">
        <f>IF(ISNUMBER(
   IF(D_I="SI",(Datos!L18-Datos!V18)/Datos!V18,(Datos!L18+Datos!AF18-(Datos!V18+Datos!AN18))/(Datos!V18+Datos!AN18))
     ),IF(D_I="SI",(Datos!L18-Datos!V18)/Datos!V18,(Datos!L18+Datos!AF18-(Datos!V18+Datos!AN18))/(Datos!V18+Datos!AN18))," - ")</f>
        <v>-7.407407407407407E-2</v>
      </c>
      <c r="H18" s="235">
        <f>IF(ISNUMBER((Datos!M18-Datos!W18)/Datos!W18),(Datos!M18-Datos!W18)/Datos!W18," - ")</f>
        <v>-0.2</v>
      </c>
      <c r="I18" s="360">
        <f>IF(ISNUMBER((Tasas!C18-Datos!BE18)/Datos!BE18),(Tasas!C18-Datos!BE18)/Datos!BE18," - ")</f>
        <v>-0.47089947089947093</v>
      </c>
      <c r="J18" s="359">
        <f>IF(ISNUMBER((Tasas!D18-Datos!BF18)/Datos!BF18),(Tasas!D18-Datos!BF18)/Datos!BF18," - ")</f>
        <v>-0.54285714285714293</v>
      </c>
      <c r="K18" s="361">
        <f>IF(ISNUMBER((Tasas!E18-Datos!BG18)/Datos!BG18),(Tasas!E18-Datos!BG18)/Datos!BG18," - ")</f>
        <v>-0.24929971988795513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0.13075506445672191</v>
      </c>
      <c r="E20" s="364">
        <f>IF(ISNUMBER(
   IF(D_I="SI",(Datos!J20-Datos!T20)/Datos!T20,(Datos!J20+Datos!AD20-(Datos!T20+Datos!AL20))/(Datos!T20+Datos!AL20))
     ),IF(D_I="SI",(Datos!J20-Datos!T20)/Datos!T20,(Datos!J20+Datos!AD20-(Datos!T20+Datos!AL20))/(Datos!T20+Datos!AL20))," - ")</f>
        <v>0.16610169491525423</v>
      </c>
      <c r="F20" s="364">
        <f>IF(ISNUMBER(
   IF(D_I="SI",(Datos!K20-Datos!U20)/Datos!U20,(Datos!K20+Datos!AE20-(Datos!U20+Datos!AM20))/(Datos!U20+Datos!AM20))
     ),IF(D_I="SI",(Datos!K20-Datos!U20)/Datos!U20,(Datos!K20+Datos!AE20-(Datos!U20+Datos!AM20))/(Datos!U20+Datos!AM20))," - ")</f>
        <v>0.1873015873015873</v>
      </c>
      <c r="G20" s="365">
        <f>IF(ISNUMBER(
   IF(D_I="SI",(Datos!L20-Datos!V20)/Datos!V20,(Datos!L20+Datos!AF20-(Datos!V20+Datos!AN20))/(Datos!V20+Datos!AN20))
     ),IF(D_I="SI",(Datos!L20-Datos!V20)/Datos!V20,(Datos!L20+Datos!AF20-(Datos!V20+Datos!AN20))/(Datos!V20+Datos!AN20))," - ")</f>
        <v>0.11663479923518165</v>
      </c>
      <c r="H20" s="366">
        <f>IF(ISNUMBER((Datos!M20-Datos!W20)/Datos!W20),(Datos!M20-Datos!W20)/Datos!W20," - ")</f>
        <v>-0.34545454545454546</v>
      </c>
      <c r="I20" s="367">
        <f>IF(ISNUMBER((Tasas!C20-Datos!BE20)/Datos!BE20),(Tasas!C20-Datos!BE20)/Datos!BE20," - ")</f>
        <v>-5.9518818825983415E-2</v>
      </c>
      <c r="J20" s="365">
        <f>IF(ISNUMBER((Tasas!D20-Datos!BF20)/Datos!BF20),(Tasas!D20-Datos!BF20)/Datos!BF20," - ")</f>
        <v>-0.44871171609139521</v>
      </c>
      <c r="K20" s="368">
        <f>IF(ISNUMBER((Tasas!E20-Datos!BG20)/Datos!BG20),(Tasas!E20-Datos!BG20)/Datos!BG20," - ")</f>
        <v>-3.7145993133638734E-2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8.2390953150242321E-2</v>
      </c>
      <c r="E21" s="373">
        <f>IF(ISNUMBER(
   IF(J_V="SI",(Datos!J21-Datos!T21)/Datos!T21,(Datos!J21+Datos!Z21-(Datos!T21+Datos!AH21))/(Datos!T21+Datos!AH21))
     ),IF(J_V="SI",(Datos!J21-Datos!T21)/Datos!T21,(Datos!J21+Datos!Z21-(Datos!T21+Datos!AH21))/(Datos!T21+Datos!AH21))," - ")</f>
        <v>0.24329159212880144</v>
      </c>
      <c r="F21" s="373">
        <f>IF(ISNUMBER(
   IF(J_V="SI",(Datos!K21-Datos!U21)/Datos!U21,(Datos!K21+Datos!AA21-(Datos!U21+Datos!AI21))/(Datos!U21+Datos!AI21))
     ),IF(J_V="SI",(Datos!K21-Datos!U21)/Datos!U21,(Datos!K21+Datos!AA21-(Datos!U21+Datos!AI21))/(Datos!U21+Datos!AI21))," - ")</f>
        <v>0.10410094637223975</v>
      </c>
      <c r="G21" s="374">
        <f>IF(ISNUMBER(
   IF(J_V="SI",(Datos!L21-Datos!V21)/Datos!V21,(Datos!L21+Datos!AB21-(Datos!V21+Datos!AJ21))/(Datos!V21+Datos!AJ21))
     ),IF(J_V="SI",(Datos!L21-Datos!V21)/Datos!V21,(Datos!L21+Datos!AB21-(Datos!V21+Datos!AJ21))/(Datos!V21+Datos!AJ21))," - ")</f>
        <v>0.14789337919174547</v>
      </c>
      <c r="H21" s="375">
        <f>IF(ISNUMBER((Datos!M21-Datos!W21)/Datos!W21),(Datos!M21-Datos!W21)/Datos!W21," - ")</f>
        <v>-0.23312883435582821</v>
      </c>
      <c r="I21" s="372">
        <f>IF(ISNUMBER((Tasas!C21-Datos!BE21)/Datos!BE21),(Tasas!C21-Datos!BE21)/Datos!BE21," - ")</f>
        <v>3.9663432010809588E-2</v>
      </c>
      <c r="J21" s="373">
        <f>IF(ISNUMBER((Tasas!D21-Datos!BF21)/Datos!BF21),(Tasas!D21-Datos!BF21)/Datos!BF21," - ")</f>
        <v>-0.40725504861630518</v>
      </c>
      <c r="K21" s="374">
        <f>IF(ISNUMBER((Tasas!E21-Datos!BG21)/Datos!BG21),(Tasas!E21-Datos!BG21)/Datos!BG21," - ")</f>
        <v>2.5669767072104208E-2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0.25254497045059365</v>
      </c>
      <c r="E23" s="283">
        <f t="shared" si="1"/>
        <v>0.24766363985816112</v>
      </c>
      <c r="F23" s="283">
        <f t="shared" si="1"/>
        <v>0.3390658689343472</v>
      </c>
      <c r="G23" s="284">
        <f t="shared" si="1"/>
        <v>0.31486684663889686</v>
      </c>
      <c r="H23" s="290">
        <f t="shared" si="1"/>
        <v>9.1302539288146023E-2</v>
      </c>
      <c r="I23" s="282">
        <f t="shared" si="1"/>
        <v>0.25751949790545942</v>
      </c>
      <c r="J23" s="283">
        <f t="shared" si="1"/>
        <v>7.5192857972423754E-2</v>
      </c>
      <c r="K23" s="284">
        <f t="shared" si="1"/>
        <v>0.14521531537082777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mAx36RBENV35Br8oYD0gDxaifeL7mE2+4Zs6nSDi3fUjWgOEEacZlJ6HVq3K7X1mwHSUWhavHEftzRr7YS7KWg==" saltValue="3wfLoX4CE/OBbU3x+dh6q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